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3440"/>
  </bookViews>
  <sheets>
    <sheet name="Summary" sheetId="7" r:id="rId1"/>
    <sheet name="Demands" sheetId="8" r:id="rId2"/>
    <sheet name="Well_Proj" sheetId="4" r:id="rId3"/>
    <sheet name="Well_Levels" sheetId="3" r:id="rId4"/>
    <sheet name="Well_Prod" sheetId="1" r:id="rId5"/>
    <sheet name="Well_Info" sheetId="2" r:id="rId6"/>
    <sheet name="Desalination_Well_Prod" sheetId="5" r:id="rId7"/>
    <sheet name="Brackish_GW_Levels" sheetId="6" r:id="rId8"/>
  </sheets>
  <definedNames>
    <definedName name="WellInfo_BotPerf">OFFSET(Well_Info!$G$5,0,0,COUNT(Well_Info!$E:$E),1)</definedName>
    <definedName name="WellInfo_GMZ">OFFSET(Well_Info!$D$5,0,0,COUNT(Well_Info!$E:$E),1)</definedName>
    <definedName name="WellInfo_Names">OFFSET(Well_Info!$C$5,0,0,COUNT(Well_Info!$E:$E),1)</definedName>
    <definedName name="WellInfo_ScreenLength">OFFSET(Well_Info!$H$5,0,0,COUNT(Well_Info!$E:$E),1)</definedName>
    <definedName name="WellInfo_TopPerf">OFFSET(Well_Info!$F$5,0,0,COUNT(Well_Info!$E:$E),1)</definedName>
    <definedName name="WellLevels_2017Screen">Well_Levels!$U$8:$U$25</definedName>
    <definedName name="WellLevels_2018Screen">Well_Levels!$W$8:$W$25</definedName>
    <definedName name="WellLevels_2019Screen">Well_Levels!$Y$8:$Y$25</definedName>
    <definedName name="WellLevels_Names">Well_Levels!$C$8:$C$25</definedName>
    <definedName name="WellProd_AnnualCapacity">Well_Prod!$E$5:$E$22</definedName>
    <definedName name="WellProd_Names">Well_Prod!$C$5:$C$22</definedName>
  </definedNames>
  <calcPr calcId="145621"/>
</workbook>
</file>

<file path=xl/calcChain.xml><?xml version="1.0" encoding="utf-8"?>
<calcChain xmlns="http://schemas.openxmlformats.org/spreadsheetml/2006/main">
  <c r="K5" i="7" l="1"/>
  <c r="K13" i="7" s="1"/>
  <c r="L5" i="7"/>
  <c r="L13" i="7" s="1"/>
  <c r="J5" i="7"/>
  <c r="J13" i="7" s="1"/>
  <c r="L8" i="7" l="1"/>
  <c r="J8" i="7"/>
  <c r="K8" i="7"/>
  <c r="D8" i="8" l="1"/>
  <c r="E6" i="7" l="1"/>
  <c r="F6" i="7"/>
  <c r="D6" i="7"/>
  <c r="G12" i="5"/>
  <c r="D17" i="5" l="1"/>
  <c r="N14" i="4" l="1"/>
  <c r="N13" i="4"/>
  <c r="N7" i="4"/>
  <c r="N8" i="4"/>
  <c r="N9" i="4"/>
  <c r="N6" i="4"/>
  <c r="K6" i="1" l="1"/>
  <c r="P16" i="4" s="1"/>
  <c r="K7" i="1"/>
  <c r="Q16" i="4" s="1"/>
  <c r="K5" i="1"/>
  <c r="O16" i="4" s="1"/>
  <c r="T16" i="3"/>
  <c r="V16" i="3" s="1"/>
  <c r="X16" i="3" s="1"/>
  <c r="Y16" i="3" s="1"/>
  <c r="I14" i="4" s="1"/>
  <c r="S25" i="3"/>
  <c r="T25" i="3" s="1"/>
  <c r="S24" i="3"/>
  <c r="T24" i="3" s="1"/>
  <c r="S23" i="3"/>
  <c r="T23" i="3" s="1"/>
  <c r="S22" i="3"/>
  <c r="T22" i="3" s="1"/>
  <c r="S21" i="3"/>
  <c r="T21" i="3" s="1"/>
  <c r="V21" i="3" s="1"/>
  <c r="X21" i="3" s="1"/>
  <c r="Y21" i="3" s="1"/>
  <c r="I19" i="4" s="1"/>
  <c r="S19" i="3"/>
  <c r="T19" i="3" s="1"/>
  <c r="V19" i="3" s="1"/>
  <c r="X19" i="3" s="1"/>
  <c r="Y19" i="3" s="1"/>
  <c r="I17" i="4" s="1"/>
  <c r="S18" i="3"/>
  <c r="T18" i="3" s="1"/>
  <c r="V18" i="3" s="1"/>
  <c r="X18" i="3" s="1"/>
  <c r="S17" i="3"/>
  <c r="T17" i="3" s="1"/>
  <c r="V17" i="3" s="1"/>
  <c r="X17" i="3" s="1"/>
  <c r="Y17" i="3" s="1"/>
  <c r="I15" i="4" s="1"/>
  <c r="S16" i="3"/>
  <c r="S15" i="3"/>
  <c r="T15" i="3" s="1"/>
  <c r="V15" i="3" s="1"/>
  <c r="X15" i="3" s="1"/>
  <c r="Y15" i="3" s="1"/>
  <c r="I13" i="4" s="1"/>
  <c r="S14" i="3"/>
  <c r="T14" i="3" s="1"/>
  <c r="S11" i="3"/>
  <c r="T11" i="3" s="1"/>
  <c r="L25" i="3"/>
  <c r="L24" i="3"/>
  <c r="L23" i="3"/>
  <c r="L22" i="3"/>
  <c r="L21" i="3"/>
  <c r="L19" i="3"/>
  <c r="L18" i="3"/>
  <c r="L17" i="3"/>
  <c r="L16" i="3"/>
  <c r="L15" i="3"/>
  <c r="L14" i="3"/>
  <c r="L13" i="3"/>
  <c r="L12" i="3"/>
  <c r="L11" i="3"/>
  <c r="L9" i="3"/>
  <c r="D25" i="3"/>
  <c r="D24" i="3"/>
  <c r="D23" i="3"/>
  <c r="D22" i="3"/>
  <c r="D21" i="3"/>
  <c r="D20" i="3"/>
  <c r="D19" i="3"/>
  <c r="D18" i="3"/>
  <c r="D17" i="3"/>
  <c r="D16" i="3"/>
  <c r="D15" i="3"/>
  <c r="D14" i="3"/>
  <c r="D13" i="3"/>
  <c r="D12" i="3"/>
  <c r="D11" i="3"/>
  <c r="D10" i="3"/>
  <c r="D9" i="3"/>
  <c r="D8" i="3"/>
  <c r="S8" i="3"/>
  <c r="K25" i="3"/>
  <c r="K24" i="3"/>
  <c r="K23" i="3"/>
  <c r="K22" i="3"/>
  <c r="K21" i="3"/>
  <c r="K19" i="3"/>
  <c r="K18" i="3"/>
  <c r="K17" i="3"/>
  <c r="K16" i="3"/>
  <c r="K15" i="3"/>
  <c r="K14" i="3"/>
  <c r="K13" i="3"/>
  <c r="K12" i="3"/>
  <c r="K11" i="3"/>
  <c r="K9" i="3"/>
  <c r="V22" i="3" l="1"/>
  <c r="V23" i="3"/>
  <c r="V11" i="3"/>
  <c r="U11" i="3"/>
  <c r="E9" i="4" s="1"/>
  <c r="V14" i="3"/>
  <c r="V24" i="3"/>
  <c r="V25" i="3"/>
  <c r="U16" i="3"/>
  <c r="E14" i="4" s="1"/>
  <c r="W21" i="3"/>
  <c r="G19" i="4" s="1"/>
  <c r="U19" i="3"/>
  <c r="E17" i="4" s="1"/>
  <c r="W15" i="3"/>
  <c r="G13" i="4" s="1"/>
  <c r="U21" i="3"/>
  <c r="E19" i="4" s="1"/>
  <c r="W16" i="3"/>
  <c r="G14" i="4" s="1"/>
  <c r="W19" i="3"/>
  <c r="G17" i="4" s="1"/>
  <c r="U15" i="3"/>
  <c r="E13" i="4" s="1"/>
  <c r="S10" i="3"/>
  <c r="T10" i="3" s="1"/>
  <c r="S13" i="3"/>
  <c r="T13" i="3" s="1"/>
  <c r="S9" i="3"/>
  <c r="S20" i="3"/>
  <c r="T20" i="3" s="1"/>
  <c r="S12" i="3"/>
  <c r="X14" i="3" l="1"/>
  <c r="X11" i="3"/>
  <c r="Y11" i="3" s="1"/>
  <c r="I9" i="4" s="1"/>
  <c r="W11" i="3"/>
  <c r="G9" i="4" s="1"/>
  <c r="X25" i="3"/>
  <c r="X23" i="3"/>
  <c r="Y23" i="3" s="1"/>
  <c r="I21" i="4" s="1"/>
  <c r="W23" i="3"/>
  <c r="G21" i="4" s="1"/>
  <c r="X24" i="3"/>
  <c r="X22" i="3"/>
  <c r="V20" i="3"/>
  <c r="U20" i="3"/>
  <c r="E18" i="4" s="1"/>
  <c r="V13" i="3"/>
  <c r="U13" i="3"/>
  <c r="E11" i="4" s="1"/>
  <c r="V10" i="3"/>
  <c r="U10" i="3"/>
  <c r="E8" i="4" s="1"/>
  <c r="T9" i="3"/>
  <c r="X13" i="3" l="1"/>
  <c r="Y13" i="3" s="1"/>
  <c r="I11" i="4" s="1"/>
  <c r="W13" i="3"/>
  <c r="G11" i="4" s="1"/>
  <c r="X20" i="3"/>
  <c r="Y20" i="3" s="1"/>
  <c r="I18" i="4" s="1"/>
  <c r="W20" i="3"/>
  <c r="G18" i="4" s="1"/>
  <c r="X10" i="3"/>
  <c r="Y10" i="3" s="1"/>
  <c r="I8" i="4" s="1"/>
  <c r="W10" i="3"/>
  <c r="G8" i="4" s="1"/>
  <c r="V9" i="3"/>
  <c r="X9" i="3" l="1"/>
  <c r="E22" i="1" l="1"/>
  <c r="E21" i="1"/>
  <c r="E20" i="1"/>
  <c r="E19" i="1"/>
  <c r="E18" i="1"/>
  <c r="E17" i="1"/>
  <c r="E16" i="1"/>
  <c r="E15" i="1"/>
  <c r="E14" i="1"/>
  <c r="J15" i="4" s="1"/>
  <c r="E13" i="1"/>
  <c r="E12" i="1"/>
  <c r="E11" i="1"/>
  <c r="E10" i="1"/>
  <c r="E9" i="1"/>
  <c r="E8" i="1"/>
  <c r="E7" i="1"/>
  <c r="E6" i="1"/>
  <c r="E5" i="1"/>
  <c r="F18" i="4" l="1"/>
  <c r="J18" i="4"/>
  <c r="H18" i="4"/>
  <c r="F11" i="4"/>
  <c r="H11" i="4"/>
  <c r="J11" i="4"/>
  <c r="J19" i="4"/>
  <c r="H19" i="4"/>
  <c r="F19" i="4"/>
  <c r="F8" i="4"/>
  <c r="J8" i="4"/>
  <c r="H8" i="4"/>
  <c r="J17" i="4"/>
  <c r="F17" i="4"/>
  <c r="H17" i="4"/>
  <c r="J13" i="4"/>
  <c r="H13" i="4"/>
  <c r="F13" i="4"/>
  <c r="H21" i="4"/>
  <c r="J21" i="4"/>
  <c r="F9" i="4"/>
  <c r="J9" i="4"/>
  <c r="H9" i="4"/>
  <c r="J14" i="4"/>
  <c r="Q7" i="4" s="1"/>
  <c r="F14" i="4"/>
  <c r="O7" i="4" s="1"/>
  <c r="H14" i="4"/>
  <c r="P7" i="4" s="1"/>
  <c r="E24" i="1"/>
  <c r="M14" i="3"/>
  <c r="N14" i="3" s="1"/>
  <c r="M13" i="3"/>
  <c r="N13" i="3" s="1"/>
  <c r="M9" i="3"/>
  <c r="N9" i="3" s="1"/>
  <c r="H6" i="2"/>
  <c r="H7" i="2"/>
  <c r="H8" i="2"/>
  <c r="M11" i="3" s="1"/>
  <c r="N11" i="3" s="1"/>
  <c r="H9" i="2"/>
  <c r="M12" i="3" s="1"/>
  <c r="N12" i="3" s="1"/>
  <c r="H10" i="2"/>
  <c r="H11" i="2"/>
  <c r="H12" i="2"/>
  <c r="M15" i="3" s="1"/>
  <c r="N15" i="3" s="1"/>
  <c r="H13" i="2"/>
  <c r="M16" i="3" s="1"/>
  <c r="N16" i="3" s="1"/>
  <c r="H14" i="2"/>
  <c r="H15" i="2"/>
  <c r="H16" i="2"/>
  <c r="M19" i="3" s="1"/>
  <c r="N19" i="3" s="1"/>
  <c r="H17" i="2"/>
  <c r="H18" i="2"/>
  <c r="M21" i="3" s="1"/>
  <c r="N21" i="3" s="1"/>
  <c r="H19" i="2"/>
  <c r="H20" i="2"/>
  <c r="U23" i="3" s="1"/>
  <c r="E21" i="4" s="1"/>
  <c r="F21" i="4" s="1"/>
  <c r="H21" i="2"/>
  <c r="M24" i="3" s="1"/>
  <c r="N24" i="3" s="1"/>
  <c r="H22" i="2"/>
  <c r="H5" i="2"/>
  <c r="U22" i="3" l="1"/>
  <c r="E20" i="4" s="1"/>
  <c r="F20" i="4" s="1"/>
  <c r="W22" i="3"/>
  <c r="G20" i="4" s="1"/>
  <c r="H20" i="4" s="1"/>
  <c r="Y22" i="3"/>
  <c r="I20" i="4" s="1"/>
  <c r="J20" i="4" s="1"/>
  <c r="U14" i="3"/>
  <c r="E12" i="4" s="1"/>
  <c r="F12" i="4" s="1"/>
  <c r="W14" i="3"/>
  <c r="G12" i="4" s="1"/>
  <c r="H12" i="4" s="1"/>
  <c r="Y14" i="3"/>
  <c r="I12" i="4" s="1"/>
  <c r="J12" i="4" s="1"/>
  <c r="M22" i="3"/>
  <c r="N22" i="3" s="1"/>
  <c r="M18" i="3"/>
  <c r="N18" i="3" s="1"/>
  <c r="Y18" i="3"/>
  <c r="I16" i="4" s="1"/>
  <c r="J16" i="4" s="1"/>
  <c r="Q8" i="4" s="1"/>
  <c r="Q14" i="4" s="1"/>
  <c r="Q21" i="4" s="1"/>
  <c r="U18" i="3"/>
  <c r="E16" i="4" s="1"/>
  <c r="F16" i="4" s="1"/>
  <c r="O8" i="4" s="1"/>
  <c r="O14" i="4" s="1"/>
  <c r="O21" i="4" s="1"/>
  <c r="W18" i="3"/>
  <c r="G16" i="4" s="1"/>
  <c r="H16" i="4" s="1"/>
  <c r="P8" i="4" s="1"/>
  <c r="P14" i="4" s="1"/>
  <c r="P21" i="4" s="1"/>
  <c r="U24" i="3"/>
  <c r="E22" i="4" s="1"/>
  <c r="F22" i="4" s="1"/>
  <c r="W24" i="3"/>
  <c r="G22" i="4" s="1"/>
  <c r="H22" i="4" s="1"/>
  <c r="Y24" i="3"/>
  <c r="I22" i="4" s="1"/>
  <c r="J22" i="4" s="1"/>
  <c r="M23" i="3"/>
  <c r="N23" i="3" s="1"/>
  <c r="U25" i="3"/>
  <c r="E23" i="4" s="1"/>
  <c r="F23" i="4" s="1"/>
  <c r="W25" i="3"/>
  <c r="G23" i="4" s="1"/>
  <c r="H23" i="4" s="1"/>
  <c r="Y25" i="3"/>
  <c r="I23" i="4" s="1"/>
  <c r="J23" i="4" s="1"/>
  <c r="M17" i="3"/>
  <c r="N17" i="3" s="1"/>
  <c r="W17" i="3"/>
  <c r="G15" i="4" s="1"/>
  <c r="H15" i="4" s="1"/>
  <c r="U17" i="3"/>
  <c r="E15" i="4" s="1"/>
  <c r="F15" i="4" s="1"/>
  <c r="U9" i="3"/>
  <c r="E7" i="4" s="1"/>
  <c r="F7" i="4" s="1"/>
  <c r="W9" i="3"/>
  <c r="G7" i="4" s="1"/>
  <c r="H7" i="4" s="1"/>
  <c r="P6" i="4" s="1"/>
  <c r="Y9" i="3"/>
  <c r="I7" i="4" s="1"/>
  <c r="J7" i="4" s="1"/>
  <c r="M25" i="3"/>
  <c r="N25" i="3" s="1"/>
  <c r="Q9" i="4" l="1"/>
  <c r="P9" i="4"/>
  <c r="J25" i="4"/>
  <c r="Q6" i="4"/>
  <c r="H25" i="4"/>
  <c r="O6" i="4"/>
  <c r="F25" i="4"/>
  <c r="O9" i="4"/>
  <c r="Q13" i="4" l="1"/>
  <c r="O13" i="4"/>
  <c r="P13" i="4"/>
  <c r="P20" i="4" l="1"/>
  <c r="P23" i="4" s="1"/>
  <c r="E5" i="7" s="1"/>
  <c r="E12" i="7" s="1"/>
  <c r="Q20" i="4"/>
  <c r="Q23" i="4" s="1"/>
  <c r="F5" i="7" s="1"/>
  <c r="F12" i="7" s="1"/>
  <c r="O20" i="4"/>
  <c r="O23" i="4" s="1"/>
  <c r="D5" i="7" s="1"/>
  <c r="D12" i="7" s="1"/>
  <c r="L9" i="7" l="1"/>
  <c r="L14" i="7"/>
  <c r="L17" i="7" s="1"/>
  <c r="K9" i="7"/>
  <c r="K14" i="7"/>
  <c r="K16" i="7" s="1"/>
  <c r="J9" i="7"/>
  <c r="J14" i="7"/>
  <c r="J16" i="7" s="1"/>
  <c r="L16" i="7" l="1"/>
</calcChain>
</file>

<file path=xl/sharedStrings.xml><?xml version="1.0" encoding="utf-8"?>
<sst xmlns="http://schemas.openxmlformats.org/spreadsheetml/2006/main" count="335" uniqueCount="163">
  <si>
    <t>Well</t>
  </si>
  <si>
    <t>EMWD 14 Riverbed</t>
  </si>
  <si>
    <t>EMWD 17 Cienega</t>
  </si>
  <si>
    <t>EMWD 25 Fruitvale</t>
  </si>
  <si>
    <t>EMWD 26 Cienega</t>
  </si>
  <si>
    <t>EMWD 27 Hewitt/Evans</t>
  </si>
  <si>
    <t>EMWD 29 New Quandt</t>
  </si>
  <si>
    <t>EMWD 33 Mountain</t>
  </si>
  <si>
    <t>EMWD 34 Cienega</t>
  </si>
  <si>
    <t>EMWD 35 Palm/Menlo</t>
  </si>
  <si>
    <t>EMWD 36 Washington</t>
  </si>
  <si>
    <t>EMWD 55 Perris II</t>
  </si>
  <si>
    <t>EMWD 56 New Perry</t>
  </si>
  <si>
    <t>EMWD 57 New Follico</t>
  </si>
  <si>
    <t>EMWD 59 Indian</t>
  </si>
  <si>
    <t>EMWD 80 Seventh</t>
  </si>
  <si>
    <t>EMWD 90 Evans/Old Mountain</t>
  </si>
  <si>
    <t>EMWD 91 Ramona/Esplanade</t>
  </si>
  <si>
    <t>EMWD 92 Ramona/Hemet</t>
  </si>
  <si>
    <t>GMZ</t>
  </si>
  <si>
    <t>RP Elev</t>
  </si>
  <si>
    <t>Upper Pressure</t>
  </si>
  <si>
    <t>Canyon</t>
  </si>
  <si>
    <t>Hemet South</t>
  </si>
  <si>
    <t>Perris North</t>
  </si>
  <si>
    <t>Well Information / Construction</t>
  </si>
  <si>
    <t>Top Perf</t>
  </si>
  <si>
    <t>Bot Perf</t>
  </si>
  <si>
    <t>2013 Levels</t>
  </si>
  <si>
    <t>2016 Levels</t>
  </si>
  <si>
    <t>Depth to Water</t>
  </si>
  <si>
    <t>Date</t>
  </si>
  <si>
    <t>Type</t>
  </si>
  <si>
    <t>Static</t>
  </si>
  <si>
    <t>Pumping</t>
  </si>
  <si>
    <t>Other Levels of Note</t>
  </si>
  <si>
    <t>(could not sound)</t>
  </si>
  <si>
    <t>(out of service)</t>
  </si>
  <si>
    <t>Groundwater Levels (feet below reference point)</t>
  </si>
  <si>
    <t>Screen</t>
  </si>
  <si>
    <t>Depth</t>
  </si>
  <si>
    <t>∆ 2016</t>
  </si>
  <si>
    <t>"Critical" Screen Condition</t>
  </si>
  <si>
    <r>
      <t>"Critical" Depths</t>
    </r>
    <r>
      <rPr>
        <b/>
        <vertAlign val="superscript"/>
        <sz val="10"/>
        <color theme="0"/>
        <rFont val="Calibri"/>
        <family val="2"/>
        <scheme val="minor"/>
      </rPr>
      <t>(1)</t>
    </r>
  </si>
  <si>
    <t>Notes</t>
  </si>
  <si>
    <t>Downtime</t>
  </si>
  <si>
    <t>1 cfs</t>
  </si>
  <si>
    <t>AFd</t>
  </si>
  <si>
    <t>Annual Totals</t>
  </si>
  <si>
    <r>
      <t>cfs</t>
    </r>
    <r>
      <rPr>
        <b/>
        <vertAlign val="superscript"/>
        <sz val="10"/>
        <color theme="1"/>
        <rFont val="Calibri"/>
        <family val="2"/>
        <scheme val="minor"/>
      </rPr>
      <t>(1)</t>
    </r>
  </si>
  <si>
    <r>
      <t>AFY</t>
    </r>
    <r>
      <rPr>
        <b/>
        <vertAlign val="superscript"/>
        <sz val="10"/>
        <color theme="1"/>
        <rFont val="Calibri"/>
        <family val="2"/>
        <scheme val="minor"/>
      </rPr>
      <t>(2)</t>
    </r>
  </si>
  <si>
    <t>∆ 2013</t>
  </si>
  <si>
    <t>∆ (ft)</t>
  </si>
  <si>
    <t>% Screen</t>
  </si>
  <si>
    <t>Est. Depth</t>
  </si>
  <si>
    <t>Well Name</t>
  </si>
  <si>
    <t>Well Information</t>
  </si>
  <si>
    <t>Avg. Yr ∆</t>
  </si>
  <si>
    <r>
      <t xml:space="preserve">Avg </t>
    </r>
    <r>
      <rPr>
        <b/>
        <sz val="10"/>
        <color theme="1"/>
        <rFont val="Calibri"/>
        <family val="2"/>
      </rPr>
      <t>∆</t>
    </r>
    <r>
      <rPr>
        <b/>
        <vertAlign val="superscript"/>
        <sz val="10"/>
        <color theme="1"/>
        <rFont val="Calibri"/>
        <family val="2"/>
      </rPr>
      <t>(2)</t>
    </r>
  </si>
  <si>
    <t>2018 Levels</t>
  </si>
  <si>
    <t>2019 Levels</t>
  </si>
  <si>
    <t>(1)  The groundwater portion of Worksheet 1 asks for the amount of water that can be withdrawn "without substantially affect your ability to pump water".  For the purposes of this analysis, a condition creating a "substantial" effect on "ability to pump water" was defined as existing when over 50 percent of a well's screened interval was exposed.  In reality, the ability to pump water is dependent on multiple factors, including but not limited to, the depth and pump curve of the installed pump, intra-well gradients (caused by differential hydraulic head - wells are screened across multiple aquifers), time since well was last rehabilitated and the influence zone of nearby wells.</t>
  </si>
  <si>
    <r>
      <t>2017 Levels</t>
    </r>
    <r>
      <rPr>
        <b/>
        <vertAlign val="superscript"/>
        <sz val="10"/>
        <color theme="0"/>
        <rFont val="Calibri"/>
        <family val="2"/>
        <scheme val="minor"/>
      </rPr>
      <t>(3)</t>
    </r>
  </si>
  <si>
    <t>(2)  The average annual change in water level was calculated using the difference between referenced water levels in 2013 and 2016.  If a water level was not available for a specific well, an average of the change for all the wells with records within the same groundwater management zone were used.</t>
  </si>
  <si>
    <t>(3)  For wells without recorded levels in either 2013 or 2016, data was estimated.  For example, 2017 water level data for wells with level data available in 2013 but not in 2016 was estimated by adding four years worth of average annual water level change as calculated by the average of other wells within the same groundwater management zone.</t>
  </si>
  <si>
    <r>
      <t>Projected Groundwater Levels</t>
    </r>
    <r>
      <rPr>
        <b/>
        <vertAlign val="superscript"/>
        <sz val="10"/>
        <color theme="0"/>
        <rFont val="Calibri"/>
        <family val="2"/>
        <scheme val="minor"/>
      </rPr>
      <t>(4)</t>
    </r>
  </si>
  <si>
    <t>(4)  Projected groundwater levels should be compared only against the same well or against wells with the same pumping condition within the same groundwater management zone, since a mixture of static and pumping groundwater levels were used to "best fit" the analysis timeline set by the SWRCB.  Generally, static water levels are considered more representative of an aquifer's status than a pumping water level, however, where pumping water levels were the only dataset available in either 2013 or 2016, a matching level was found to generate as close to a direct comparison as possible.  This analysis does not capture the potential influence of pumping from nearby wells when the water levels were measured.</t>
  </si>
  <si>
    <t>Year</t>
  </si>
  <si>
    <t>Total HSJ GW</t>
  </si>
  <si>
    <t>ABPR</t>
  </si>
  <si>
    <r>
      <t>HSJ Production Rights</t>
    </r>
    <r>
      <rPr>
        <b/>
        <vertAlign val="superscript"/>
        <sz val="10"/>
        <color theme="0"/>
        <rFont val="Calibri"/>
        <family val="2"/>
        <scheme val="minor"/>
      </rPr>
      <t>(4)</t>
    </r>
  </si>
  <si>
    <r>
      <t>Bank Usage</t>
    </r>
    <r>
      <rPr>
        <b/>
        <vertAlign val="superscript"/>
        <sz val="10"/>
        <color theme="1"/>
        <rFont val="Calibri"/>
        <family val="2"/>
        <scheme val="minor"/>
      </rPr>
      <t>(5)</t>
    </r>
  </si>
  <si>
    <r>
      <t>% Capacity</t>
    </r>
    <r>
      <rPr>
        <b/>
        <vertAlign val="superscript"/>
        <sz val="10"/>
        <color theme="1"/>
        <rFont val="Calibri"/>
        <family val="2"/>
        <scheme val="minor"/>
      </rPr>
      <t>(1)</t>
    </r>
  </si>
  <si>
    <t>2017 Pumping</t>
  </si>
  <si>
    <t>2018 Pumping</t>
  </si>
  <si>
    <t>2019 Pumping</t>
  </si>
  <si>
    <t>GW Avail.</t>
  </si>
  <si>
    <t>(2)  The amount of saturated aquifer at a given well location was estimated assuming a repeat of the trends from 2013 - 2016, with starting conditions being current day 2016.  Water level data used at each well were picked to be as close to June as possible given SWRCB guidelines.  If, for a given well and year, only a pumping water level was available, then a pumping water level was selected for the other year to ensure consistency.  Generally speaking, static water levels are considered to be more representative of aquifer conditions.  However, all water levels used in this analysis may be affected by the influence of nearby wells.  Use of pumping water levels (if static water levels are not available) skew the results conservatively as the results of calculations using pumping water levels will show less volume in storage due the the impact of the pumping well's local cone of depression.</t>
  </si>
  <si>
    <t>Name</t>
  </si>
  <si>
    <t>Wells</t>
  </si>
  <si>
    <t>Estimated Available Well Capacity by Individual Well (AF)</t>
  </si>
  <si>
    <t>Estimated Total Available Well Capacity by GMZ (AF)</t>
  </si>
  <si>
    <t>Total</t>
  </si>
  <si>
    <t>HSJ</t>
  </si>
  <si>
    <t>WSJ</t>
  </si>
  <si>
    <t>Estimated Total Available Well Capacity by Management Plan Area (AF)</t>
  </si>
  <si>
    <t>Estimated Total Available Well PRODUCTION (AF)</t>
  </si>
  <si>
    <r>
      <t>HSJ ABPR + Bank Usage</t>
    </r>
    <r>
      <rPr>
        <b/>
        <vertAlign val="superscript"/>
        <sz val="10"/>
        <color theme="1"/>
        <rFont val="Calibri"/>
        <family val="2"/>
        <scheme val="minor"/>
      </rPr>
      <t>(3)</t>
    </r>
  </si>
  <si>
    <t>West San Jacinto (WSJ)</t>
  </si>
  <si>
    <t>Management Plan Area</t>
  </si>
  <si>
    <t>EMWD 75 Salt Creek</t>
  </si>
  <si>
    <t>EMWD 76 McLaughlin</t>
  </si>
  <si>
    <t>EMWD 81 Antelope/Watson</t>
  </si>
  <si>
    <t>EMWD 82 Mapes/Sherman</t>
  </si>
  <si>
    <t>EMWD 83 Ellis/Sherman</t>
  </si>
  <si>
    <t>EMWD 84 Ellis/Bradley</t>
  </si>
  <si>
    <t>EMWD 85 Murrieta/Salt Creek</t>
  </si>
  <si>
    <t>EMWD 86 Murrieta/San Jacinto</t>
  </si>
  <si>
    <t>EMWD 87 Nuevo/Olivas</t>
  </si>
  <si>
    <t>EMWD 88 Pico/San Jacinto</t>
  </si>
  <si>
    <t>EMWD 89 Ethanac II</t>
  </si>
  <si>
    <t>EMWD Brackish Well Production (AF)</t>
  </si>
  <si>
    <t>Average Groundwater Level (Depth to Water)</t>
  </si>
  <si>
    <t>Total WSJ GW Production (AF)</t>
  </si>
  <si>
    <t>Lakeview GMZ</t>
  </si>
  <si>
    <t>Menifee GMZ</t>
  </si>
  <si>
    <t>Perris North GMZ</t>
  </si>
  <si>
    <t>Perris South GMZ</t>
  </si>
  <si>
    <t>San Jacinto Lower Pressure GMZ</t>
  </si>
  <si>
    <t>Lakeview GW Prod</t>
  </si>
  <si>
    <t>Menifee GW Prod</t>
  </si>
  <si>
    <t>Perris North GW Prod</t>
  </si>
  <si>
    <t>Perris South GW Prod</t>
  </si>
  <si>
    <t>San Jacinto Lower Pressure GW Prod</t>
  </si>
  <si>
    <t>EMWD Desalter Production (AF)</t>
  </si>
  <si>
    <t>Desalter</t>
  </si>
  <si>
    <t>Perris &amp; Menifee Desalters</t>
  </si>
  <si>
    <t>Projected Desalter Production (AF)</t>
  </si>
  <si>
    <t>(1)  A well's ability to pump water is dependent on multiple factors, including but not limited to, the depth and pump curve of the installed pump, intra-well gradients (caused by differential hydraulic head - wells are screened across multiple aquifers), time since well was last rehabilitated and the influence zone of nearby wells.  For the purpose of this analysis, a given well's current capacity (June 2016) was assumed to be its full capacity.  The given well's available production was reduced proportionally based on the amount of screen that is estimated to be within saturated aquifer.</t>
  </si>
  <si>
    <t>Supply</t>
  </si>
  <si>
    <t>(2) Assumptions made for each of the local supplies are documented on their respective tabs</t>
  </si>
  <si>
    <t>(3) These supplies are for the potable system only</t>
  </si>
  <si>
    <t>(1) EMWD expects similar supplies to be available on a "water year" and "calendar year" basis since the source of the local supplies comes from water in storage.  Essentially, supplies available in each 12 month period will be the same.</t>
  </si>
  <si>
    <t>Historic Well Production (AF/year)</t>
  </si>
  <si>
    <t>General Comments</t>
  </si>
  <si>
    <t>Groundwater production in the Hemet/San Jacinto portion of the San Jacinto Groundwater Basin is not limited by well capacity, but by adjusted base production rights set by the Hemet-San Jacinto Watermaster.</t>
  </si>
  <si>
    <r>
      <t>Hemet/San Jacinto (HSJ)</t>
    </r>
    <r>
      <rPr>
        <vertAlign val="superscript"/>
        <sz val="10"/>
        <color theme="1"/>
        <rFont val="Calibri"/>
        <family val="2"/>
        <scheme val="minor"/>
      </rPr>
      <t>(4)</t>
    </r>
  </si>
  <si>
    <t>(4)  HSJ Pumping was assumed to be the lesser of estimated well capacity available or the sum of the HSJ ABPR and planned bank usage.  In every year, the limitation was the ABPR rather than capacity of the wells</t>
  </si>
  <si>
    <t>(3)  Well pumping in Hemet/San Jacinto wells is limited by adjusted base production rights (ABPR) set by the Hemet-San Jacinto Watermaster.  EMWD has received credit for historic recharge in the HSJ area and can exceed its annual ABPR by withdrawing from "banked" water.  EMWD plans to use at least 2,000 AF annually from "banked" water from the HSJ Management Plan Area.  EMWD pumping in the West San Jacinto Management Plan Area is limited only by well capacity</t>
  </si>
  <si>
    <t>(2)  Water levels in the WSJ area have been rising or stable for an extended period of over 10 years (see "Brackish_GW_Levels" tab)</t>
  </si>
  <si>
    <t>(1)  Brackish water is pumped from portions of the West San Jacinto Management Plan area</t>
  </si>
  <si>
    <t>(4)  More information on EMWD's desalination program can be found in EMWD's submittal for a conservation standard adjustment in March 2016 located here: http://www.drinc.ca.gov/DNN/Portals/0/ORPP/EMWD_NewLocalSupply_Description_20160218_3-1-2016%208-11-48%20AM.pdf</t>
  </si>
  <si>
    <t>(3)  Supply available from desalters assumed to be constant (equal to 2015) for the purpose of this analysis (since brackish groundwater levels are stable or trending upward)</t>
  </si>
  <si>
    <t>2017 - 2019</t>
  </si>
  <si>
    <r>
      <t>EMWD Well Pumping Capacity</t>
    </r>
    <r>
      <rPr>
        <b/>
        <vertAlign val="superscript"/>
        <sz val="10"/>
        <color theme="0"/>
        <rFont val="Calibri"/>
        <family val="2"/>
        <scheme val="minor"/>
      </rPr>
      <t>(3)</t>
    </r>
  </si>
  <si>
    <t>Annual Total</t>
  </si>
  <si>
    <t>(1)  Pumping capacity in cfs is maximum instantaneous flow based on current condition of well</t>
  </si>
  <si>
    <t>(2)  Pumping capacity in AFY is the hypothetical annual capacity of the well assuming a 365 day year and well downtime of 10%</t>
  </si>
  <si>
    <t>(4)  EMWD has received credit for historic recharge in the HSJ area and can exceed its annual ABPR by withdrawing from "banked" water</t>
  </si>
  <si>
    <t>(5)  EMWD plans to use at least 2,000 AF annually from "banked" water from the HSJ Management Plan Area</t>
  </si>
  <si>
    <t>(6)  EMWD pumping in the West San Jacinto Management Plan Area is limited only by well capacity</t>
  </si>
  <si>
    <t>(3)  Well pumping in Hemet/San Jacinto wells is limited by adjusted base production rights (ABPR) set by the Hemet-San Jacinto Watermaster.  For each year of this analysis, the supplies available out of the HSJ wells will be the lesser of the estimated capacity and the ABPR.</t>
  </si>
  <si>
    <t>Annual Potable Demands (AF)</t>
  </si>
  <si>
    <t>Demand</t>
  </si>
  <si>
    <t>Average</t>
  </si>
  <si>
    <t>Estimated Imported Supplies Available (AF)</t>
  </si>
  <si>
    <t>Metropolitan Water District</t>
  </si>
  <si>
    <t>Total Potable Supplies</t>
  </si>
  <si>
    <r>
      <t>Estimated Wholesale Demands</t>
    </r>
    <r>
      <rPr>
        <vertAlign val="superscript"/>
        <sz val="10"/>
        <color theme="1"/>
        <rFont val="Calibri"/>
        <family val="2"/>
        <scheme val="minor"/>
      </rPr>
      <t>(4)</t>
    </r>
  </si>
  <si>
    <t>(4)  Wholesale demands to be met from MWD water.  Quantity determined via coordination with wholesale agencies (details posted at: http://www.emwd.org/home/showdocument?id=14751 per SWRCB requirements)</t>
  </si>
  <si>
    <t>Estimated Demands - Average of 2013/2014 (AF)</t>
  </si>
  <si>
    <t>Demand Type</t>
  </si>
  <si>
    <t>Retail Demands</t>
  </si>
  <si>
    <t>Estimated Demands (Retail + Wholesale)</t>
  </si>
  <si>
    <t>Balance (negative = surplus)</t>
  </si>
  <si>
    <t>Retail Supply / Demand Comparison</t>
  </si>
  <si>
    <t>Supply / Demand</t>
  </si>
  <si>
    <t>Retail Potable Supply</t>
  </si>
  <si>
    <t>Conservation Standard (supply shortfall as a percentage of demand in 2019)</t>
  </si>
  <si>
    <r>
      <t>Groundwater</t>
    </r>
    <r>
      <rPr>
        <vertAlign val="superscript"/>
        <sz val="10"/>
        <color theme="1"/>
        <rFont val="Calibri"/>
        <family val="2"/>
        <scheme val="minor"/>
      </rPr>
      <t>(2)</t>
    </r>
  </si>
  <si>
    <r>
      <t>Desalination</t>
    </r>
    <r>
      <rPr>
        <vertAlign val="superscript"/>
        <sz val="10"/>
        <color theme="1"/>
        <rFont val="Calibri"/>
        <family val="2"/>
        <scheme val="minor"/>
      </rPr>
      <t>(2)</t>
    </r>
  </si>
  <si>
    <r>
      <t>Estimated Local Supplies Available (AF)</t>
    </r>
    <r>
      <rPr>
        <b/>
        <vertAlign val="superscript"/>
        <sz val="10"/>
        <color theme="0"/>
        <rFont val="Calibri"/>
        <family val="2"/>
        <scheme val="minor"/>
      </rPr>
      <t>(1),(3)</t>
    </r>
  </si>
  <si>
    <t>Eastern Municipal Water District (EMWD) is certifying that it is able to supply enough potable water to meet 100 percent of estimated customer demand over the next three years.  This is possible through long-term planning and implementation of robust measures for both water supply and demand management.  EMWD and its customers have invested in a diverse portfolio of local resources, regional supplies and storage, and active and varied conservation program that reduced its gallon per capita per day water use by 25 percent prior to 2013.
Part of EMWD’s investments in local resources is our extensive recycled water system.  Recycled water currently meets 29 percent of EMWD’s total demand.  EMWD utilizes 100 percent of its recycled water within its service area.  Over 35,000 acre feet of recycled water was used to meet the demands of agricultural, landscape, environmental, and industrial customers in 2015.  This has reduced the demand for imported potable water and increased reliability for EMWD’s customers.  The reduction in demand is reflected in the 2013 and 2014 average demand used to test reliability.  In addition to the projects completed prior to 2013, EMWD has invested in an accelerated recycled water program since 2013 that when completed will permanently offset 950 acre-feet of potable water demand.  
The certification of our ability to meet customer demand does not reduce EMWD’s focus on conservation during the current drought.  The Governor’s Executive Order and Emergency Regulation remain in effect and EMWD will continue to implement conservation programs and message to customers the need to save water.  We estimate our efforts will reduce water demand between 10 and 20 percent this summer over 2013.  These efforts include:
• Remaining at Stage 3c of our Water Shortage Contingency Plan. This eliminates our “Excessive” tier and requires customer to pay our highest water rate ($11.16/CCF) for use over their water budget;
• Utilizing EMWD and grant funding to continue rebating the conversion of non-functional turf in highly visible areas to save water and influence public opinion;
• Offering assistance to all customer groups to reduce outdoor watering including installing high efficiency irrigation nozzles and smart controllers;
• Continuing to enforce water waste restrictions through warnings and penalties;
• Accelerating the conversion of potable water landscape customer to the recycled water system; and
• Sending strong messaging to customers about the on-going need for conservation.
The reduction of our Conservation Standard does not impact EMWD’s strong commitment to ongoing conservation and water use efficiency.  EMWD will continue work with its partners and stakeholder to make conservation way of life in our service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</si>
</sst>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0"/>
      <color theme="0"/>
      <name val="Calibri"/>
      <family val="2"/>
      <scheme val="minor"/>
    </font>
    <font>
      <sz val="10"/>
      <color rgb="FF0070C0"/>
      <name val="Calibri"/>
      <family val="2"/>
      <scheme val="minor"/>
    </font>
    <font>
      <b/>
      <sz val="10"/>
      <color theme="1"/>
      <name val="Calibri"/>
      <family val="2"/>
    </font>
    <font>
      <b/>
      <vertAlign val="superscript"/>
      <sz val="10"/>
      <color theme="0"/>
      <name val="Calibri"/>
      <family val="2"/>
      <scheme val="minor"/>
    </font>
    <font>
      <b/>
      <u/>
      <sz val="10"/>
      <color theme="1"/>
      <name val="Calibri"/>
      <family val="2"/>
      <scheme val="minor"/>
    </font>
    <font>
      <b/>
      <vertAlign val="superscript"/>
      <sz val="10"/>
      <color theme="1"/>
      <name val="Calibri"/>
      <family val="2"/>
      <scheme val="minor"/>
    </font>
    <font>
      <b/>
      <vertAlign val="superscript"/>
      <sz val="10"/>
      <color theme="1"/>
      <name val="Calibri"/>
      <family val="2"/>
    </font>
    <font>
      <b/>
      <sz val="11"/>
      <color rgb="FFFF0000"/>
      <name val="Calibri"/>
      <family val="2"/>
      <scheme val="minor"/>
    </font>
    <font>
      <b/>
      <sz val="8"/>
      <color theme="1"/>
      <name val="Calibri"/>
      <family val="2"/>
      <scheme val="minor"/>
    </font>
    <font>
      <sz val="8"/>
      <color theme="1"/>
      <name val="Calibri"/>
      <family val="2"/>
      <scheme val="minor"/>
    </font>
    <font>
      <vertAlign val="superscript"/>
      <sz val="10"/>
      <color theme="1"/>
      <name val="Calibri"/>
      <family val="2"/>
      <scheme val="minor"/>
    </font>
    <font>
      <u/>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lightUp">
        <fgColor rgb="FFD0D0CE"/>
      </patternFill>
    </fill>
    <fill>
      <patternFill patternType="solid">
        <fgColor rgb="FF0057B8"/>
        <bgColor indexed="64"/>
      </patternFill>
    </fill>
    <fill>
      <patternFill patternType="solid">
        <fgColor rgb="FF00A9E0"/>
        <bgColor indexed="64"/>
      </patternFill>
    </fill>
    <fill>
      <patternFill patternType="solid">
        <fgColor rgb="FF78BE20"/>
        <bgColor indexed="64"/>
      </patternFill>
    </fill>
    <fill>
      <patternFill patternType="solid">
        <fgColor rgb="FF582C83"/>
        <bgColor indexed="64"/>
      </patternFill>
    </fill>
    <fill>
      <patternFill patternType="solid">
        <fgColor rgb="FFD0D0CE"/>
        <bgColor indexed="64"/>
      </patternFill>
    </fill>
    <fill>
      <patternFill patternType="solid">
        <fgColor theme="8" tint="0.79998168889431442"/>
        <bgColor indexed="64"/>
      </patternFill>
    </fill>
    <fill>
      <patternFill patternType="solid">
        <fgColor rgb="FF00C7B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0" borderId="0" xfId="0" applyFont="1"/>
    <xf numFmtId="0" fontId="2" fillId="0" borderId="0" xfId="0" applyFont="1" applyAlignment="1">
      <alignment horizontal="left"/>
    </xf>
    <xf numFmtId="3" fontId="2" fillId="0" borderId="0" xfId="0" applyNumberFormat="1" applyFont="1" applyAlignment="1">
      <alignment horizontal="right" indent="1"/>
    </xf>
    <xf numFmtId="4" fontId="2" fillId="0" borderId="1" xfId="0" applyNumberFormat="1" applyFont="1" applyBorder="1" applyAlignment="1">
      <alignment horizontal="right" indent="1"/>
    </xf>
    <xf numFmtId="4" fontId="2" fillId="3" borderId="1" xfId="0" applyNumberFormat="1" applyFont="1" applyFill="1" applyBorder="1" applyAlignment="1">
      <alignment horizontal="right" indent="1"/>
    </xf>
    <xf numFmtId="0" fontId="5" fillId="4" borderId="0" xfId="0" applyFont="1" applyFill="1" applyAlignment="1">
      <alignment horizontal="centerContinuous"/>
    </xf>
    <xf numFmtId="0" fontId="4" fillId="4" borderId="0" xfId="0" applyFont="1" applyFill="1" applyAlignment="1">
      <alignment horizontal="centerContinuous"/>
    </xf>
    <xf numFmtId="0" fontId="5" fillId="4" borderId="1" xfId="0" applyFont="1" applyFill="1" applyBorder="1" applyAlignment="1">
      <alignment horizontal="centerContinuous"/>
    </xf>
    <xf numFmtId="0" fontId="4" fillId="4" borderId="1" xfId="0" applyFont="1" applyFill="1" applyBorder="1" applyAlignment="1">
      <alignment horizontal="centerContinuous"/>
    </xf>
    <xf numFmtId="0" fontId="5" fillId="5" borderId="1" xfId="0" applyFont="1" applyFill="1" applyBorder="1" applyAlignment="1">
      <alignment horizontal="centerContinuous"/>
    </xf>
    <xf numFmtId="0" fontId="3" fillId="0" borderId="1" xfId="0" applyFont="1" applyBorder="1" applyAlignment="1">
      <alignment horizontal="center"/>
    </xf>
    <xf numFmtId="0" fontId="2" fillId="0" borderId="1" xfId="0" applyFont="1" applyBorder="1" applyAlignment="1">
      <alignment horizontal="centerContinuous"/>
    </xf>
    <xf numFmtId="1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xf>
    <xf numFmtId="14" fontId="2" fillId="3" borderId="1" xfId="0" applyNumberFormat="1" applyFont="1" applyFill="1" applyBorder="1"/>
    <xf numFmtId="0" fontId="2" fillId="3" borderId="1" xfId="0" applyFont="1" applyFill="1" applyBorder="1" applyAlignment="1">
      <alignment horizontal="centerContinuous"/>
    </xf>
    <xf numFmtId="4" fontId="2" fillId="3" borderId="1" xfId="0" applyNumberFormat="1" applyFont="1" applyFill="1" applyBorder="1" applyAlignment="1">
      <alignment horizontal="centerContinuous"/>
    </xf>
    <xf numFmtId="0" fontId="5" fillId="6" borderId="1" xfId="0" applyFont="1" applyFill="1" applyBorder="1" applyAlignment="1">
      <alignment horizontal="centerContinuous"/>
    </xf>
    <xf numFmtId="0" fontId="5" fillId="7" borderId="1" xfId="0" applyFont="1" applyFill="1" applyBorder="1" applyAlignment="1">
      <alignment horizontal="centerContinuous"/>
    </xf>
    <xf numFmtId="0" fontId="4" fillId="7" borderId="1" xfId="0" applyFont="1" applyFill="1" applyBorder="1" applyAlignment="1">
      <alignment horizontal="centerContinuous"/>
    </xf>
    <xf numFmtId="9" fontId="6" fillId="9" borderId="1" xfId="1" applyFont="1" applyFill="1" applyBorder="1" applyAlignment="1">
      <alignment horizontal="right" indent="1"/>
    </xf>
    <xf numFmtId="0" fontId="2" fillId="0" borderId="0" xfId="0" applyFont="1" applyAlignment="1">
      <alignment horizontal="right"/>
    </xf>
    <xf numFmtId="0" fontId="5" fillId="10" borderId="1" xfId="0" applyFont="1" applyFill="1" applyBorder="1" applyAlignment="1">
      <alignment horizontal="centerContinuous"/>
    </xf>
    <xf numFmtId="0" fontId="7" fillId="0" borderId="1" xfId="0" applyFont="1" applyBorder="1" applyAlignment="1">
      <alignment horizontal="center"/>
    </xf>
    <xf numFmtId="164" fontId="2" fillId="0" borderId="1" xfId="0" applyNumberFormat="1" applyFont="1" applyBorder="1" applyAlignment="1">
      <alignment horizontal="right" indent="1"/>
    </xf>
    <xf numFmtId="3" fontId="2" fillId="0" borderId="1" xfId="0" applyNumberFormat="1" applyFont="1" applyBorder="1" applyAlignment="1">
      <alignment horizontal="right" indent="1"/>
    </xf>
    <xf numFmtId="4" fontId="6" fillId="9" borderId="1" xfId="0" applyNumberFormat="1" applyFont="1" applyFill="1" applyBorder="1" applyAlignment="1">
      <alignment horizontal="right" indent="1"/>
    </xf>
    <xf numFmtId="165" fontId="6" fillId="9" borderId="1" xfId="0" applyNumberFormat="1" applyFont="1" applyFill="1" applyBorder="1" applyAlignment="1">
      <alignment horizontal="right" indent="1"/>
    </xf>
    <xf numFmtId="0" fontId="9" fillId="0" borderId="0" xfId="0" applyFont="1" applyFill="1" applyBorder="1" applyAlignment="1">
      <alignment horizontal="right" indent="1"/>
    </xf>
    <xf numFmtId="164" fontId="2" fillId="0" borderId="0" xfId="0" applyNumberFormat="1" applyFont="1" applyAlignment="1">
      <alignment horizontal="right" indent="1"/>
    </xf>
    <xf numFmtId="0" fontId="0" fillId="0" borderId="3" xfId="0" applyBorder="1"/>
    <xf numFmtId="0" fontId="3" fillId="8" borderId="4" xfId="0" applyFont="1" applyFill="1" applyBorder="1" applyAlignment="1">
      <alignment horizontal="centerContinuous" vertical="center"/>
    </xf>
    <xf numFmtId="0" fontId="3" fillId="8" borderId="1" xfId="0" applyFont="1" applyFill="1" applyBorder="1" applyAlignment="1">
      <alignment horizontal="centerContinuous" vertical="center"/>
    </xf>
    <xf numFmtId="0" fontId="3" fillId="0" borderId="1" xfId="0" applyFont="1" applyFill="1" applyBorder="1" applyAlignment="1">
      <alignment horizontal="center"/>
    </xf>
    <xf numFmtId="0" fontId="12" fillId="0" borderId="0" xfId="0" applyFont="1"/>
    <xf numFmtId="9" fontId="2" fillId="0" borderId="1" xfId="1" applyFont="1" applyBorder="1" applyAlignment="1">
      <alignment horizontal="right" indent="1"/>
    </xf>
    <xf numFmtId="0" fontId="3" fillId="0" borderId="3" xfId="0" applyFont="1" applyFill="1" applyBorder="1" applyAlignment="1">
      <alignment horizontal="left"/>
    </xf>
    <xf numFmtId="0" fontId="2" fillId="0" borderId="3" xfId="0" applyFont="1" applyFill="1" applyBorder="1" applyAlignment="1">
      <alignment horizontal="left"/>
    </xf>
    <xf numFmtId="9" fontId="2" fillId="0" borderId="0" xfId="1" applyFont="1" applyAlignment="1">
      <alignment horizontal="right" indent="1"/>
    </xf>
    <xf numFmtId="0" fontId="0" fillId="0" borderId="0" xfId="0" applyAlignment="1">
      <alignment horizontal="left"/>
    </xf>
    <xf numFmtId="0" fontId="3" fillId="0" borderId="3" xfId="0" applyFont="1" applyBorder="1" applyAlignment="1">
      <alignment horizontal="left"/>
    </xf>
    <xf numFmtId="0" fontId="5" fillId="6" borderId="1" xfId="0" applyFont="1" applyFill="1" applyBorder="1" applyAlignment="1">
      <alignment horizontal="center"/>
    </xf>
    <xf numFmtId="0" fontId="5" fillId="5" borderId="1" xfId="0" applyFont="1" applyFill="1" applyBorder="1" applyAlignment="1">
      <alignment horizontal="center"/>
    </xf>
    <xf numFmtId="0" fontId="5" fillId="10" borderId="1" xfId="0"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horizontal="right" indent="1"/>
    </xf>
    <xf numFmtId="3" fontId="2" fillId="2" borderId="1" xfId="0" applyNumberFormat="1" applyFont="1" applyFill="1" applyBorder="1" applyAlignment="1">
      <alignment horizontal="right" indent="1"/>
    </xf>
    <xf numFmtId="2" fontId="3" fillId="0" borderId="0" xfId="0" applyNumberFormat="1" applyFont="1" applyAlignment="1">
      <alignment horizontal="center" vertical="center" wrapText="1"/>
    </xf>
    <xf numFmtId="1" fontId="2" fillId="0" borderId="0" xfId="0" applyNumberFormat="1" applyFont="1" applyAlignment="1">
      <alignment horizontal="center"/>
    </xf>
    <xf numFmtId="0" fontId="5" fillId="4" borderId="5" xfId="0" applyFont="1" applyFill="1" applyBorder="1" applyAlignment="1">
      <alignment horizontal="centerContinuous"/>
    </xf>
    <xf numFmtId="0" fontId="5" fillId="4" borderId="6" xfId="0" applyFont="1" applyFill="1" applyBorder="1" applyAlignment="1">
      <alignment horizontal="centerContinuous"/>
    </xf>
    <xf numFmtId="0" fontId="4" fillId="4" borderId="6" xfId="0" applyFont="1" applyFill="1" applyBorder="1" applyAlignment="1">
      <alignment horizontal="centerContinuous"/>
    </xf>
    <xf numFmtId="0" fontId="4" fillId="4" borderId="7" xfId="0" applyFont="1" applyFill="1" applyBorder="1" applyAlignment="1">
      <alignment horizontal="centerContinuous"/>
    </xf>
    <xf numFmtId="0" fontId="3" fillId="0" borderId="3" xfId="0" applyFont="1" applyBorder="1"/>
    <xf numFmtId="4" fontId="2" fillId="2" borderId="1" xfId="0" applyNumberFormat="1" applyFont="1" applyFill="1" applyBorder="1" applyAlignment="1">
      <alignment horizontal="right" indent="1"/>
    </xf>
    <xf numFmtId="0" fontId="3" fillId="8" borderId="1" xfId="0" applyFont="1" applyFill="1" applyBorder="1" applyAlignment="1">
      <alignment horizontal="center"/>
    </xf>
    <xf numFmtId="2" fontId="2" fillId="0" borderId="0" xfId="0" applyNumberFormat="1" applyFont="1" applyAlignment="1">
      <alignment horizontal="right" indent="1"/>
    </xf>
    <xf numFmtId="0" fontId="2" fillId="3" borderId="2" xfId="0" applyFont="1" applyFill="1" applyBorder="1" applyAlignment="1">
      <alignment horizontal="centerContinuous"/>
    </xf>
    <xf numFmtId="0" fontId="2" fillId="3" borderId="9" xfId="0" applyFont="1" applyFill="1" applyBorder="1" applyAlignment="1">
      <alignment horizontal="centerContinuous"/>
    </xf>
    <xf numFmtId="0" fontId="2" fillId="3" borderId="7" xfId="0" applyFont="1" applyFill="1" applyBorder="1" applyAlignment="1">
      <alignment horizontal="centerContinuous"/>
    </xf>
    <xf numFmtId="0" fontId="2" fillId="0" borderId="1" xfId="0" applyFont="1" applyBorder="1"/>
    <xf numFmtId="0" fontId="0" fillId="0" borderId="1" xfId="0" applyBorder="1"/>
    <xf numFmtId="0" fontId="3" fillId="0" borderId="1" xfId="0" applyFont="1" applyBorder="1" applyAlignment="1">
      <alignment horizontal="right"/>
    </xf>
    <xf numFmtId="3" fontId="2" fillId="0" borderId="2" xfId="0" applyNumberFormat="1" applyFont="1" applyBorder="1" applyAlignment="1">
      <alignment horizontal="right" indent="1"/>
    </xf>
    <xf numFmtId="0" fontId="16" fillId="0" borderId="0" xfId="0" applyFont="1" applyAlignment="1">
      <alignment horizontal="right" indent="1"/>
    </xf>
    <xf numFmtId="10" fontId="3" fillId="0" borderId="0" xfId="1" applyNumberFormat="1" applyFont="1" applyAlignment="1">
      <alignment horizontal="right" inden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Alignment="1">
      <alignment horizontal="left"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xf>
    <xf numFmtId="0" fontId="2" fillId="0" borderId="0" xfId="0" applyFont="1" applyBorder="1" applyAlignment="1">
      <alignment horizontal="left" vertical="top"/>
    </xf>
  </cellXfs>
  <cellStyles count="2">
    <cellStyle name="Normal" xfId="0" builtinId="0"/>
    <cellStyle name="Percent" xfId="1" builtinId="5"/>
  </cellStyles>
  <dxfs count="3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A9E0"/>
      <color rgb="FF00C7B1"/>
      <color rgb="FF78BE20"/>
      <color rgb="FF0057B8"/>
      <color rgb="FF582C83"/>
      <color rgb="FFD0D0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3"/>
          <c:order val="1"/>
          <c:tx>
            <c:v>Imported Water</c:v>
          </c:tx>
          <c:spPr>
            <a:solidFill>
              <a:srgbClr val="00A9E0"/>
            </a:solidFill>
          </c:spPr>
          <c:invertIfNegative val="0"/>
          <c:val>
            <c:numRef>
              <c:f>Summary!$D$10:$F$10</c:f>
              <c:numCache>
                <c:formatCode>#,##0</c:formatCode>
                <c:ptCount val="3"/>
                <c:pt idx="0">
                  <c:v>97217</c:v>
                </c:pt>
                <c:pt idx="1">
                  <c:v>99805</c:v>
                </c:pt>
                <c:pt idx="2">
                  <c:v>101053</c:v>
                </c:pt>
              </c:numCache>
            </c:numRef>
          </c:val>
        </c:ser>
        <c:ser>
          <c:idx val="1"/>
          <c:order val="2"/>
          <c:tx>
            <c:v>Groundwater</c:v>
          </c:tx>
          <c:spPr>
            <a:solidFill>
              <a:srgbClr val="78BE20"/>
            </a:solidFill>
          </c:spPr>
          <c:invertIfNegative val="0"/>
          <c:val>
            <c:numRef>
              <c:f>Summary!$D$5:$F$5</c:f>
              <c:numCache>
                <c:formatCode>#,##0</c:formatCode>
                <c:ptCount val="3"/>
                <c:pt idx="0">
                  <c:v>15269.108693014368</c:v>
                </c:pt>
                <c:pt idx="1">
                  <c:v>14709.782744609092</c:v>
                </c:pt>
                <c:pt idx="2">
                  <c:v>14556.575425606148</c:v>
                </c:pt>
              </c:numCache>
            </c:numRef>
          </c:val>
        </c:ser>
        <c:ser>
          <c:idx val="2"/>
          <c:order val="3"/>
          <c:tx>
            <c:v>Desalination</c:v>
          </c:tx>
          <c:spPr>
            <a:solidFill>
              <a:srgbClr val="00C7B1"/>
            </a:solidFill>
          </c:spPr>
          <c:invertIfNegative val="0"/>
          <c:val>
            <c:numRef>
              <c:f>Summary!$D$6:$F$6</c:f>
              <c:numCache>
                <c:formatCode>#,##0</c:formatCode>
                <c:ptCount val="3"/>
                <c:pt idx="0">
                  <c:v>7287.8949999999986</c:v>
                </c:pt>
                <c:pt idx="1">
                  <c:v>7287.8949999999986</c:v>
                </c:pt>
                <c:pt idx="2">
                  <c:v>7287.8949999999986</c:v>
                </c:pt>
              </c:numCache>
            </c:numRef>
          </c:val>
        </c:ser>
        <c:dLbls>
          <c:showLegendKey val="0"/>
          <c:showVal val="0"/>
          <c:showCatName val="0"/>
          <c:showSerName val="0"/>
          <c:showPercent val="0"/>
          <c:showBubbleSize val="0"/>
        </c:dLbls>
        <c:gapWidth val="150"/>
        <c:overlap val="100"/>
        <c:axId val="54242304"/>
        <c:axId val="67251008"/>
      </c:barChart>
      <c:lineChart>
        <c:grouping val="standard"/>
        <c:varyColors val="0"/>
        <c:ser>
          <c:idx val="0"/>
          <c:order val="0"/>
          <c:tx>
            <c:strRef>
              <c:f>Summary!$I$8</c:f>
              <c:strCache>
                <c:ptCount val="1"/>
                <c:pt idx="0">
                  <c:v>Estimated Demands (Retail + Wholesale)</c:v>
                </c:pt>
              </c:strCache>
            </c:strRef>
          </c:tx>
          <c:marker>
            <c:symbol val="none"/>
          </c:marker>
          <c:cat>
            <c:numRef>
              <c:f>Summary!$J$4:$L$4</c:f>
              <c:numCache>
                <c:formatCode>General</c:formatCode>
                <c:ptCount val="3"/>
                <c:pt idx="0">
                  <c:v>2017</c:v>
                </c:pt>
                <c:pt idx="1">
                  <c:v>2018</c:v>
                </c:pt>
                <c:pt idx="2">
                  <c:v>2019</c:v>
                </c:pt>
              </c:numCache>
            </c:numRef>
          </c:cat>
          <c:val>
            <c:numRef>
              <c:f>Summary!$J$8:$L$8</c:f>
              <c:numCache>
                <c:formatCode>#,##0</c:formatCode>
                <c:ptCount val="3"/>
                <c:pt idx="0">
                  <c:v>119409</c:v>
                </c:pt>
                <c:pt idx="1">
                  <c:v>121276</c:v>
                </c:pt>
                <c:pt idx="2">
                  <c:v>122358</c:v>
                </c:pt>
              </c:numCache>
            </c:numRef>
          </c:val>
          <c:smooth val="0"/>
        </c:ser>
        <c:dLbls>
          <c:showLegendKey val="0"/>
          <c:showVal val="0"/>
          <c:showCatName val="0"/>
          <c:showSerName val="0"/>
          <c:showPercent val="0"/>
          <c:showBubbleSize val="0"/>
        </c:dLbls>
        <c:marker val="1"/>
        <c:smooth val="0"/>
        <c:axId val="54242304"/>
        <c:axId val="67251008"/>
      </c:lineChart>
      <c:catAx>
        <c:axId val="54242304"/>
        <c:scaling>
          <c:orientation val="minMax"/>
        </c:scaling>
        <c:delete val="0"/>
        <c:axPos val="b"/>
        <c:numFmt formatCode="General" sourceLinked="1"/>
        <c:majorTickMark val="out"/>
        <c:minorTickMark val="none"/>
        <c:tickLblPos val="nextTo"/>
        <c:crossAx val="67251008"/>
        <c:crosses val="autoZero"/>
        <c:auto val="1"/>
        <c:lblAlgn val="ctr"/>
        <c:lblOffset val="100"/>
        <c:noMultiLvlLbl val="0"/>
      </c:catAx>
      <c:valAx>
        <c:axId val="67251008"/>
        <c:scaling>
          <c:orientation val="minMax"/>
        </c:scaling>
        <c:delete val="0"/>
        <c:axPos val="l"/>
        <c:majorGridlines/>
        <c:numFmt formatCode="#,##0" sourceLinked="1"/>
        <c:majorTickMark val="out"/>
        <c:minorTickMark val="none"/>
        <c:tickLblPos val="nextTo"/>
        <c:crossAx val="542423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Groundwater</a:t>
            </a:r>
            <a:r>
              <a:rPr lang="en-US" baseline="0"/>
              <a:t> Conditions in the WSJ Management Plan Area</a:t>
            </a:r>
            <a:endParaRPr lang="en-US"/>
          </a:p>
        </c:rich>
      </c:tx>
      <c:overlay val="0"/>
    </c:title>
    <c:autoTitleDeleted val="0"/>
    <c:plotArea>
      <c:layout/>
      <c:barChart>
        <c:barDir val="col"/>
        <c:grouping val="clustered"/>
        <c:varyColors val="0"/>
        <c:ser>
          <c:idx val="5"/>
          <c:order val="5"/>
          <c:tx>
            <c:strRef>
              <c:f>Brackish_GW_Levels!$D$4</c:f>
              <c:strCache>
                <c:ptCount val="1"/>
                <c:pt idx="0">
                  <c:v>Total WSJ GW Production (AF)</c:v>
                </c:pt>
              </c:strCache>
            </c:strRef>
          </c:tx>
          <c:invertIfNegative val="0"/>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Brackish_GW_Levels!$D$5:$D$25</c:f>
              <c:numCache>
                <c:formatCode>#,##0</c:formatCode>
                <c:ptCount val="21"/>
                <c:pt idx="0">
                  <c:v>18810.30000000001</c:v>
                </c:pt>
                <c:pt idx="1">
                  <c:v>22084.029999999992</c:v>
                </c:pt>
                <c:pt idx="2">
                  <c:v>25007.259999999995</c:v>
                </c:pt>
                <c:pt idx="3">
                  <c:v>18660.559999999998</c:v>
                </c:pt>
                <c:pt idx="4">
                  <c:v>22652.55</c:v>
                </c:pt>
                <c:pt idx="5">
                  <c:v>23102.76</c:v>
                </c:pt>
                <c:pt idx="6">
                  <c:v>19830.982068887308</c:v>
                </c:pt>
                <c:pt idx="7">
                  <c:v>20606.06700000001</c:v>
                </c:pt>
                <c:pt idx="8">
                  <c:v>18579.559099999999</c:v>
                </c:pt>
                <c:pt idx="9">
                  <c:v>18648.605000000003</c:v>
                </c:pt>
                <c:pt idx="10">
                  <c:v>15297.608999999995</c:v>
                </c:pt>
                <c:pt idx="11">
                  <c:v>23053.889999999996</c:v>
                </c:pt>
                <c:pt idx="12">
                  <c:v>22625.903300000005</c:v>
                </c:pt>
                <c:pt idx="13">
                  <c:v>19084.03787</c:v>
                </c:pt>
                <c:pt idx="14">
                  <c:v>16924.123</c:v>
                </c:pt>
                <c:pt idx="15">
                  <c:v>18867.859999999993</c:v>
                </c:pt>
                <c:pt idx="16">
                  <c:v>20127.180613999997</c:v>
                </c:pt>
                <c:pt idx="17">
                  <c:v>20754.878999999994</c:v>
                </c:pt>
                <c:pt idx="18">
                  <c:v>21767.350000000009</c:v>
                </c:pt>
                <c:pt idx="19">
                  <c:v>24112.510999908998</c:v>
                </c:pt>
                <c:pt idx="20">
                  <c:v>20004.032999999999</c:v>
                </c:pt>
              </c:numCache>
            </c:numRef>
          </c:val>
        </c:ser>
        <c:dLbls>
          <c:showLegendKey val="0"/>
          <c:showVal val="0"/>
          <c:showCatName val="0"/>
          <c:showSerName val="0"/>
          <c:showPercent val="0"/>
          <c:showBubbleSize val="0"/>
        </c:dLbls>
        <c:gapWidth val="150"/>
        <c:axId val="122509824"/>
        <c:axId val="113839488"/>
      </c:barChart>
      <c:lineChart>
        <c:grouping val="standard"/>
        <c:varyColors val="0"/>
        <c:ser>
          <c:idx val="0"/>
          <c:order val="0"/>
          <c:tx>
            <c:strRef>
              <c:f>Brackish_GW_Levels!$E$4</c:f>
              <c:strCache>
                <c:ptCount val="1"/>
                <c:pt idx="0">
                  <c:v>Lakeview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Brackish_GW_Levels!$E$5:$E$25</c:f>
              <c:numCache>
                <c:formatCode>0.00</c:formatCode>
                <c:ptCount val="21"/>
                <c:pt idx="0">
                  <c:v>259.17</c:v>
                </c:pt>
                <c:pt idx="1">
                  <c:v>256.01976744186038</c:v>
                </c:pt>
                <c:pt idx="2">
                  <c:v>248.84367346938771</c:v>
                </c:pt>
                <c:pt idx="3">
                  <c:v>248.9675471698113</c:v>
                </c:pt>
                <c:pt idx="4">
                  <c:v>242.32452830188677</c:v>
                </c:pt>
                <c:pt idx="5">
                  <c:v>235.25084745762717</c:v>
                </c:pt>
                <c:pt idx="6">
                  <c:v>232.41481481481478</c:v>
                </c:pt>
                <c:pt idx="7">
                  <c:v>226.08703703703705</c:v>
                </c:pt>
                <c:pt idx="8">
                  <c:v>220.51499999999996</c:v>
                </c:pt>
                <c:pt idx="9">
                  <c:v>211.79491525423731</c:v>
                </c:pt>
                <c:pt idx="10">
                  <c:v>204.27213114754105</c:v>
                </c:pt>
                <c:pt idx="11">
                  <c:v>202.98461538461547</c:v>
                </c:pt>
                <c:pt idx="12">
                  <c:v>189.55614035087711</c:v>
                </c:pt>
                <c:pt idx="13">
                  <c:v>180.13571428571433</c:v>
                </c:pt>
                <c:pt idx="14">
                  <c:v>178.42812500000002</c:v>
                </c:pt>
                <c:pt idx="15">
                  <c:v>183.84482758620695</c:v>
                </c:pt>
                <c:pt idx="16">
                  <c:v>182.31228070175447</c:v>
                </c:pt>
                <c:pt idx="17">
                  <c:v>179.47735849056599</c:v>
                </c:pt>
                <c:pt idx="18">
                  <c:v>172.91875000000002</c:v>
                </c:pt>
                <c:pt idx="19">
                  <c:v>183.86296296296297</c:v>
                </c:pt>
                <c:pt idx="20">
                  <c:v>174.94827586206895</c:v>
                </c:pt>
              </c:numCache>
            </c:numRef>
          </c:val>
          <c:smooth val="1"/>
        </c:ser>
        <c:ser>
          <c:idx val="1"/>
          <c:order val="1"/>
          <c:tx>
            <c:strRef>
              <c:f>Brackish_GW_Levels!$F$4</c:f>
              <c:strCache>
                <c:ptCount val="1"/>
                <c:pt idx="0">
                  <c:v>Menifee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Brackish_GW_Levels!$F$5:$F$25</c:f>
              <c:numCache>
                <c:formatCode>0.00</c:formatCode>
                <c:ptCount val="21"/>
                <c:pt idx="0">
                  <c:v>97.665333333333294</c:v>
                </c:pt>
                <c:pt idx="1">
                  <c:v>99.628571428571419</c:v>
                </c:pt>
                <c:pt idx="2">
                  <c:v>103.24459459459457</c:v>
                </c:pt>
                <c:pt idx="3">
                  <c:v>96.927045454545407</c:v>
                </c:pt>
                <c:pt idx="4">
                  <c:v>95.415151515151521</c:v>
                </c:pt>
                <c:pt idx="5">
                  <c:v>102.18285714285716</c:v>
                </c:pt>
                <c:pt idx="6">
                  <c:v>101.12222222222222</c:v>
                </c:pt>
                <c:pt idx="7">
                  <c:v>106.45909090909093</c:v>
                </c:pt>
                <c:pt idx="8">
                  <c:v>106.09767441860467</c:v>
                </c:pt>
                <c:pt idx="9">
                  <c:v>108.50454545454544</c:v>
                </c:pt>
                <c:pt idx="10">
                  <c:v>102.30952380952378</c:v>
                </c:pt>
                <c:pt idx="11">
                  <c:v>101.86499999999998</c:v>
                </c:pt>
                <c:pt idx="12">
                  <c:v>106.11621621621623</c:v>
                </c:pt>
                <c:pt idx="13">
                  <c:v>105.7972222222222</c:v>
                </c:pt>
                <c:pt idx="14">
                  <c:v>102.925</c:v>
                </c:pt>
                <c:pt idx="15">
                  <c:v>94.858333333333306</c:v>
                </c:pt>
                <c:pt idx="16">
                  <c:v>90.074999999999989</c:v>
                </c:pt>
                <c:pt idx="17">
                  <c:v>88.070588235294125</c:v>
                </c:pt>
                <c:pt idx="18">
                  <c:v>91.90303030303032</c:v>
                </c:pt>
                <c:pt idx="19">
                  <c:v>96.387096774193523</c:v>
                </c:pt>
                <c:pt idx="20">
                  <c:v>92.690909090909102</c:v>
                </c:pt>
              </c:numCache>
            </c:numRef>
          </c:val>
          <c:smooth val="1"/>
        </c:ser>
        <c:ser>
          <c:idx val="2"/>
          <c:order val="2"/>
          <c:tx>
            <c:strRef>
              <c:f>Brackish_GW_Levels!$G$4</c:f>
              <c:strCache>
                <c:ptCount val="1"/>
                <c:pt idx="0">
                  <c:v>Perris North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Brackish_GW_Levels!$G$5:$G$25</c:f>
              <c:numCache>
                <c:formatCode>0.00</c:formatCode>
                <c:ptCount val="21"/>
                <c:pt idx="0">
                  <c:v>129.23170731707313</c:v>
                </c:pt>
                <c:pt idx="1">
                  <c:v>137.12437499999996</c:v>
                </c:pt>
                <c:pt idx="2">
                  <c:v>123.97719101123597</c:v>
                </c:pt>
                <c:pt idx="3">
                  <c:v>108.70183673469388</c:v>
                </c:pt>
                <c:pt idx="4">
                  <c:v>118.09819444444449</c:v>
                </c:pt>
                <c:pt idx="5">
                  <c:v>114.55540540540541</c:v>
                </c:pt>
                <c:pt idx="6">
                  <c:v>103.73432835820898</c:v>
                </c:pt>
                <c:pt idx="7">
                  <c:v>104.00999999999999</c:v>
                </c:pt>
                <c:pt idx="8">
                  <c:v>112.15897435897438</c:v>
                </c:pt>
                <c:pt idx="9">
                  <c:v>81.747899159663859</c:v>
                </c:pt>
                <c:pt idx="10">
                  <c:v>98.15568181818179</c:v>
                </c:pt>
                <c:pt idx="11">
                  <c:v>92.35064935064932</c:v>
                </c:pt>
                <c:pt idx="12">
                  <c:v>60.961235955056189</c:v>
                </c:pt>
                <c:pt idx="13">
                  <c:v>92.376190476190487</c:v>
                </c:pt>
                <c:pt idx="14">
                  <c:v>73.726495726495699</c:v>
                </c:pt>
                <c:pt idx="15">
                  <c:v>92.01604938271602</c:v>
                </c:pt>
                <c:pt idx="16">
                  <c:v>80.934883720930273</c:v>
                </c:pt>
                <c:pt idx="17">
                  <c:v>81.22790697674418</c:v>
                </c:pt>
                <c:pt idx="18">
                  <c:v>66.626363636363607</c:v>
                </c:pt>
                <c:pt idx="19">
                  <c:v>70.843181818181819</c:v>
                </c:pt>
                <c:pt idx="20">
                  <c:v>73.128301886792443</c:v>
                </c:pt>
              </c:numCache>
            </c:numRef>
          </c:val>
          <c:smooth val="1"/>
        </c:ser>
        <c:ser>
          <c:idx val="3"/>
          <c:order val="3"/>
          <c:tx>
            <c:strRef>
              <c:f>Brackish_GW_Levels!$H$4</c:f>
              <c:strCache>
                <c:ptCount val="1"/>
                <c:pt idx="0">
                  <c:v>Perris South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Brackish_GW_Levels!$H$5:$H$25</c:f>
              <c:numCache>
                <c:formatCode>0.00</c:formatCode>
                <c:ptCount val="21"/>
                <c:pt idx="0">
                  <c:v>49.272426035502988</c:v>
                </c:pt>
                <c:pt idx="1">
                  <c:v>54.591401273885374</c:v>
                </c:pt>
                <c:pt idx="2">
                  <c:v>60.824357142857181</c:v>
                </c:pt>
                <c:pt idx="3">
                  <c:v>54.863776223776242</c:v>
                </c:pt>
                <c:pt idx="4">
                  <c:v>57.643617021276619</c:v>
                </c:pt>
                <c:pt idx="5">
                  <c:v>54.591578947368419</c:v>
                </c:pt>
                <c:pt idx="6">
                  <c:v>52.486075949367063</c:v>
                </c:pt>
                <c:pt idx="7">
                  <c:v>53.456000000000024</c:v>
                </c:pt>
                <c:pt idx="8">
                  <c:v>48.44961240310078</c:v>
                </c:pt>
                <c:pt idx="9">
                  <c:v>47.835714285714303</c:v>
                </c:pt>
                <c:pt idx="10">
                  <c:v>42.456097560975621</c:v>
                </c:pt>
                <c:pt idx="11">
                  <c:v>43.948387096774191</c:v>
                </c:pt>
                <c:pt idx="12">
                  <c:v>50.316788321167877</c:v>
                </c:pt>
                <c:pt idx="13">
                  <c:v>53.227374301675979</c:v>
                </c:pt>
                <c:pt idx="14">
                  <c:v>53.83595505617982</c:v>
                </c:pt>
                <c:pt idx="15">
                  <c:v>50.732467532467517</c:v>
                </c:pt>
                <c:pt idx="16">
                  <c:v>50.990419161676655</c:v>
                </c:pt>
                <c:pt idx="17">
                  <c:v>50.672781065088742</c:v>
                </c:pt>
                <c:pt idx="18">
                  <c:v>53.679888268156375</c:v>
                </c:pt>
                <c:pt idx="19">
                  <c:v>51.242657342657324</c:v>
                </c:pt>
                <c:pt idx="20">
                  <c:v>49.036134453781507</c:v>
                </c:pt>
              </c:numCache>
            </c:numRef>
          </c:val>
          <c:smooth val="1"/>
        </c:ser>
        <c:ser>
          <c:idx val="4"/>
          <c:order val="4"/>
          <c:tx>
            <c:strRef>
              <c:f>Brackish_GW_Levels!$I$4</c:f>
              <c:strCache>
                <c:ptCount val="1"/>
                <c:pt idx="0">
                  <c:v>San Jacinto Lower Pressure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Brackish_GW_Levels!$I$5:$I$25</c:f>
              <c:numCache>
                <c:formatCode>0.00</c:formatCode>
                <c:ptCount val="21"/>
                <c:pt idx="0">
                  <c:v>162.59687500000007</c:v>
                </c:pt>
                <c:pt idx="1">
                  <c:v>187.05115384615391</c:v>
                </c:pt>
                <c:pt idx="2">
                  <c:v>191.77944444444449</c:v>
                </c:pt>
                <c:pt idx="3">
                  <c:v>191.1330303030303</c:v>
                </c:pt>
                <c:pt idx="4">
                  <c:v>182.28333333333336</c:v>
                </c:pt>
                <c:pt idx="5">
                  <c:v>182.44242424242424</c:v>
                </c:pt>
                <c:pt idx="6">
                  <c:v>185.73225806451612</c:v>
                </c:pt>
                <c:pt idx="7">
                  <c:v>171.88000000000002</c:v>
                </c:pt>
                <c:pt idx="8">
                  <c:v>159.84186046511624</c:v>
                </c:pt>
                <c:pt idx="9">
                  <c:v>165.47954545454542</c:v>
                </c:pt>
                <c:pt idx="10">
                  <c:v>159.58823529411765</c:v>
                </c:pt>
                <c:pt idx="11">
                  <c:v>160.5605263157895</c:v>
                </c:pt>
                <c:pt idx="12">
                  <c:v>156.36739130434779</c:v>
                </c:pt>
                <c:pt idx="13">
                  <c:v>160.50681818181826</c:v>
                </c:pt>
                <c:pt idx="14">
                  <c:v>158.44565217391309</c:v>
                </c:pt>
                <c:pt idx="15">
                  <c:v>157.64666666666665</c:v>
                </c:pt>
                <c:pt idx="16">
                  <c:v>156.18809523809529</c:v>
                </c:pt>
                <c:pt idx="17">
                  <c:v>152.02444444444441</c:v>
                </c:pt>
                <c:pt idx="18">
                  <c:v>127.06060606060609</c:v>
                </c:pt>
                <c:pt idx="19">
                  <c:v>142.51428571428568</c:v>
                </c:pt>
                <c:pt idx="20">
                  <c:v>137.34750000000003</c:v>
                </c:pt>
              </c:numCache>
            </c:numRef>
          </c:val>
          <c:smooth val="1"/>
        </c:ser>
        <c:dLbls>
          <c:showLegendKey val="0"/>
          <c:showVal val="0"/>
          <c:showCatName val="0"/>
          <c:showSerName val="0"/>
          <c:showPercent val="0"/>
          <c:showBubbleSize val="0"/>
        </c:dLbls>
        <c:marker val="1"/>
        <c:smooth val="0"/>
        <c:axId val="122510336"/>
        <c:axId val="113840064"/>
      </c:lineChart>
      <c:catAx>
        <c:axId val="122509824"/>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113839488"/>
        <c:crosses val="autoZero"/>
        <c:auto val="1"/>
        <c:lblAlgn val="ctr"/>
        <c:lblOffset val="100"/>
        <c:noMultiLvlLbl val="0"/>
      </c:catAx>
      <c:valAx>
        <c:axId val="113839488"/>
        <c:scaling>
          <c:orientation val="minMax"/>
          <c:max val="60000"/>
          <c:min val="0"/>
        </c:scaling>
        <c:delete val="0"/>
        <c:axPos val="l"/>
        <c:majorGridlines/>
        <c:title>
          <c:tx>
            <c:rich>
              <a:bodyPr rot="-5400000" vert="horz"/>
              <a:lstStyle/>
              <a:p>
                <a:pPr>
                  <a:defRPr/>
                </a:pPr>
                <a:r>
                  <a:rPr lang="en-US"/>
                  <a:t>Annual Groundwater Production (AF)</a:t>
                </a:r>
              </a:p>
            </c:rich>
          </c:tx>
          <c:overlay val="0"/>
        </c:title>
        <c:numFmt formatCode="#,##0" sourceLinked="1"/>
        <c:majorTickMark val="out"/>
        <c:minorTickMark val="none"/>
        <c:tickLblPos val="nextTo"/>
        <c:crossAx val="122509824"/>
        <c:crosses val="autoZero"/>
        <c:crossBetween val="between"/>
        <c:majorUnit val="10000"/>
      </c:valAx>
      <c:valAx>
        <c:axId val="113840064"/>
        <c:scaling>
          <c:orientation val="maxMin"/>
        </c:scaling>
        <c:delete val="0"/>
        <c:axPos val="r"/>
        <c:title>
          <c:tx>
            <c:rich>
              <a:bodyPr rot="-5400000" vert="horz"/>
              <a:lstStyle/>
              <a:p>
                <a:pPr>
                  <a:defRPr/>
                </a:pPr>
                <a:r>
                  <a:rPr lang="en-US"/>
                  <a:t>Average Depth</a:t>
                </a:r>
                <a:r>
                  <a:rPr lang="en-US" baseline="0"/>
                  <a:t> to Groundwater (ft)</a:t>
                </a:r>
                <a:endParaRPr lang="en-US"/>
              </a:p>
            </c:rich>
          </c:tx>
          <c:overlay val="0"/>
        </c:title>
        <c:numFmt formatCode="0" sourceLinked="0"/>
        <c:majorTickMark val="out"/>
        <c:minorTickMark val="none"/>
        <c:tickLblPos val="nextTo"/>
        <c:crossAx val="122510336"/>
        <c:crosses val="max"/>
        <c:crossBetween val="between"/>
      </c:valAx>
      <c:catAx>
        <c:axId val="122510336"/>
        <c:scaling>
          <c:orientation val="minMax"/>
        </c:scaling>
        <c:delete val="1"/>
        <c:axPos val="t"/>
        <c:numFmt formatCode="0" sourceLinked="1"/>
        <c:majorTickMark val="out"/>
        <c:minorTickMark val="none"/>
        <c:tickLblPos val="nextTo"/>
        <c:crossAx val="113840064"/>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Groundwater</a:t>
            </a:r>
            <a:r>
              <a:rPr lang="en-US" baseline="0"/>
              <a:t> Conditions in the WSJ Management Plan Area</a:t>
            </a:r>
            <a:endParaRPr lang="en-US"/>
          </a:p>
        </c:rich>
      </c:tx>
      <c:overlay val="0"/>
    </c:title>
    <c:autoTitleDeleted val="0"/>
    <c:plotArea>
      <c:layout/>
      <c:barChart>
        <c:barDir val="col"/>
        <c:grouping val="stacked"/>
        <c:varyColors val="0"/>
        <c:ser>
          <c:idx val="5"/>
          <c:order val="5"/>
          <c:tx>
            <c:strRef>
              <c:f>Brackish_GW_Levels!$D$29</c:f>
              <c:strCache>
                <c:ptCount val="1"/>
                <c:pt idx="0">
                  <c:v>Lakeview GW Prod</c:v>
                </c:pt>
              </c:strCache>
            </c:strRef>
          </c:tx>
          <c:invertIfNegative val="0"/>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Brackish_GW_Levels!$D$30:$D$50</c:f>
              <c:numCache>
                <c:formatCode>#,##0</c:formatCode>
                <c:ptCount val="21"/>
                <c:pt idx="0">
                  <c:v>8372.1000000000022</c:v>
                </c:pt>
                <c:pt idx="1">
                  <c:v>8968.7199999999975</c:v>
                </c:pt>
                <c:pt idx="2">
                  <c:v>9214.6500000000015</c:v>
                </c:pt>
                <c:pt idx="3">
                  <c:v>6214.61</c:v>
                </c:pt>
                <c:pt idx="4">
                  <c:v>7451.63</c:v>
                </c:pt>
                <c:pt idx="5">
                  <c:v>6393.47</c:v>
                </c:pt>
                <c:pt idx="6">
                  <c:v>4776.881000000003</c:v>
                </c:pt>
                <c:pt idx="7">
                  <c:v>5313.4609999999993</c:v>
                </c:pt>
                <c:pt idx="8">
                  <c:v>3395.3969999999986</c:v>
                </c:pt>
                <c:pt idx="9">
                  <c:v>3941.9810999999995</c:v>
                </c:pt>
                <c:pt idx="10">
                  <c:v>2915.1280000000006</c:v>
                </c:pt>
                <c:pt idx="11">
                  <c:v>3048.639000000001</c:v>
                </c:pt>
                <c:pt idx="12">
                  <c:v>2790.4690999999993</c:v>
                </c:pt>
                <c:pt idx="13">
                  <c:v>2213.8559299999993</c:v>
                </c:pt>
                <c:pt idx="14">
                  <c:v>2118.8900000000003</c:v>
                </c:pt>
                <c:pt idx="15">
                  <c:v>2596.85</c:v>
                </c:pt>
                <c:pt idx="16">
                  <c:v>2763.0699999999997</c:v>
                </c:pt>
                <c:pt idx="17">
                  <c:v>2901.3389999999995</c:v>
                </c:pt>
                <c:pt idx="18">
                  <c:v>3831.2619999999993</c:v>
                </c:pt>
                <c:pt idx="19">
                  <c:v>4968.4089998900008</c:v>
                </c:pt>
                <c:pt idx="20">
                  <c:v>3832.1000000000004</c:v>
                </c:pt>
              </c:numCache>
            </c:numRef>
          </c:val>
        </c:ser>
        <c:ser>
          <c:idx val="6"/>
          <c:order val="6"/>
          <c:tx>
            <c:strRef>
              <c:f>Brackish_GW_Levels!$E$29</c:f>
              <c:strCache>
                <c:ptCount val="1"/>
                <c:pt idx="0">
                  <c:v>Menifee GW Prod</c:v>
                </c:pt>
              </c:strCache>
            </c:strRef>
          </c:tx>
          <c:invertIfNegative val="0"/>
          <c:val>
            <c:numRef>
              <c:f>Brackish_GW_Levels!$E$30:$E$50</c:f>
              <c:numCache>
                <c:formatCode>#,##0</c:formatCode>
                <c:ptCount val="21"/>
                <c:pt idx="0">
                  <c:v>4241.5100000000011</c:v>
                </c:pt>
                <c:pt idx="1">
                  <c:v>4360.4300000000012</c:v>
                </c:pt>
                <c:pt idx="2">
                  <c:v>4240.6899999999996</c:v>
                </c:pt>
                <c:pt idx="3">
                  <c:v>3883.7000000000003</c:v>
                </c:pt>
                <c:pt idx="4">
                  <c:v>4730.6400000000021</c:v>
                </c:pt>
                <c:pt idx="5">
                  <c:v>4829.5299999999988</c:v>
                </c:pt>
                <c:pt idx="6">
                  <c:v>5019.7330688873135</c:v>
                </c:pt>
                <c:pt idx="7">
                  <c:v>5477.1899999999987</c:v>
                </c:pt>
                <c:pt idx="8">
                  <c:v>5115.7299999999996</c:v>
                </c:pt>
                <c:pt idx="9">
                  <c:v>4538.3799999999983</c:v>
                </c:pt>
                <c:pt idx="10">
                  <c:v>4405.8299999999981</c:v>
                </c:pt>
                <c:pt idx="11">
                  <c:v>4859.4400000000005</c:v>
                </c:pt>
                <c:pt idx="12">
                  <c:v>4724.2801999999992</c:v>
                </c:pt>
                <c:pt idx="13">
                  <c:v>4131.195340000002</c:v>
                </c:pt>
                <c:pt idx="14">
                  <c:v>1420.9900000000014</c:v>
                </c:pt>
                <c:pt idx="15">
                  <c:v>3827.9900000000002</c:v>
                </c:pt>
                <c:pt idx="16">
                  <c:v>4306.6900000000014</c:v>
                </c:pt>
                <c:pt idx="17">
                  <c:v>4189.3300000000027</c:v>
                </c:pt>
                <c:pt idx="18">
                  <c:v>4228.6729999999998</c:v>
                </c:pt>
                <c:pt idx="19">
                  <c:v>3684.8590000020004</c:v>
                </c:pt>
                <c:pt idx="20">
                  <c:v>709.59599999999989</c:v>
                </c:pt>
              </c:numCache>
            </c:numRef>
          </c:val>
        </c:ser>
        <c:ser>
          <c:idx val="7"/>
          <c:order val="7"/>
          <c:tx>
            <c:strRef>
              <c:f>Brackish_GW_Levels!$F$29</c:f>
              <c:strCache>
                <c:ptCount val="1"/>
                <c:pt idx="0">
                  <c:v>Perris North GW Prod</c:v>
                </c:pt>
              </c:strCache>
            </c:strRef>
          </c:tx>
          <c:invertIfNegative val="0"/>
          <c:val>
            <c:numRef>
              <c:f>Brackish_GW_Levels!$F$30:$F$50</c:f>
              <c:numCache>
                <c:formatCode>#,##0</c:formatCode>
                <c:ptCount val="21"/>
                <c:pt idx="0">
                  <c:v>3614.5600000000009</c:v>
                </c:pt>
                <c:pt idx="1">
                  <c:v>6396.5000000000009</c:v>
                </c:pt>
                <c:pt idx="2">
                  <c:v>9120.5500000000029</c:v>
                </c:pt>
                <c:pt idx="3">
                  <c:v>6607.6800000000012</c:v>
                </c:pt>
                <c:pt idx="4">
                  <c:v>8679.67</c:v>
                </c:pt>
                <c:pt idx="5">
                  <c:v>9494.2500000000036</c:v>
                </c:pt>
                <c:pt idx="6">
                  <c:v>8488.5989999999983</c:v>
                </c:pt>
                <c:pt idx="7">
                  <c:v>8053.0730000000021</c:v>
                </c:pt>
                <c:pt idx="8">
                  <c:v>7748.2800000000007</c:v>
                </c:pt>
                <c:pt idx="9">
                  <c:v>7507.7230000000036</c:v>
                </c:pt>
                <c:pt idx="10">
                  <c:v>5821.6310000000021</c:v>
                </c:pt>
                <c:pt idx="11">
                  <c:v>8283.5609999999961</c:v>
                </c:pt>
                <c:pt idx="12">
                  <c:v>8065.4740000000038</c:v>
                </c:pt>
                <c:pt idx="13">
                  <c:v>8424.1199999999953</c:v>
                </c:pt>
                <c:pt idx="14">
                  <c:v>6788.5849999999973</c:v>
                </c:pt>
                <c:pt idx="15">
                  <c:v>5530.9999999999991</c:v>
                </c:pt>
                <c:pt idx="16">
                  <c:v>6111.920000000001</c:v>
                </c:pt>
                <c:pt idx="17">
                  <c:v>7029.3199999999988</c:v>
                </c:pt>
                <c:pt idx="18">
                  <c:v>6358.9890000000023</c:v>
                </c:pt>
                <c:pt idx="19">
                  <c:v>5183.0980000260006</c:v>
                </c:pt>
                <c:pt idx="20">
                  <c:v>5669.8130000000019</c:v>
                </c:pt>
              </c:numCache>
            </c:numRef>
          </c:val>
        </c:ser>
        <c:ser>
          <c:idx val="8"/>
          <c:order val="8"/>
          <c:tx>
            <c:strRef>
              <c:f>Brackish_GW_Levels!$G$29</c:f>
              <c:strCache>
                <c:ptCount val="1"/>
                <c:pt idx="0">
                  <c:v>Perris South GW Prod</c:v>
                </c:pt>
              </c:strCache>
            </c:strRef>
          </c:tx>
          <c:invertIfNegative val="0"/>
          <c:val>
            <c:numRef>
              <c:f>Brackish_GW_Levels!$G$30:$G$50</c:f>
              <c:numCache>
                <c:formatCode>#,##0</c:formatCode>
                <c:ptCount val="21"/>
                <c:pt idx="0">
                  <c:v>1658.44</c:v>
                </c:pt>
                <c:pt idx="1">
                  <c:v>1374.5899999999992</c:v>
                </c:pt>
                <c:pt idx="2">
                  <c:v>1502.609999999999</c:v>
                </c:pt>
                <c:pt idx="3">
                  <c:v>1137.8299999999992</c:v>
                </c:pt>
                <c:pt idx="4">
                  <c:v>1195.8899999999992</c:v>
                </c:pt>
                <c:pt idx="5">
                  <c:v>1505.8000000000004</c:v>
                </c:pt>
                <c:pt idx="6">
                  <c:v>610.16999999999973</c:v>
                </c:pt>
                <c:pt idx="7">
                  <c:v>1077.693</c:v>
                </c:pt>
                <c:pt idx="8">
                  <c:v>1869.75</c:v>
                </c:pt>
                <c:pt idx="9">
                  <c:v>2315.7803999999996</c:v>
                </c:pt>
                <c:pt idx="10">
                  <c:v>1842.98</c:v>
                </c:pt>
                <c:pt idx="11">
                  <c:v>6454.6600000000035</c:v>
                </c:pt>
                <c:pt idx="12">
                  <c:v>6629.5399999999981</c:v>
                </c:pt>
                <c:pt idx="13">
                  <c:v>4166.0400000000009</c:v>
                </c:pt>
                <c:pt idx="14">
                  <c:v>6367.4599999999991</c:v>
                </c:pt>
                <c:pt idx="15">
                  <c:v>6712.079999999999</c:v>
                </c:pt>
                <c:pt idx="16">
                  <c:v>6770.43</c:v>
                </c:pt>
                <c:pt idx="17">
                  <c:v>6390.5200000000013</c:v>
                </c:pt>
                <c:pt idx="18">
                  <c:v>6280.9110000000019</c:v>
                </c:pt>
                <c:pt idx="19">
                  <c:v>9108.056999997003</c:v>
                </c:pt>
                <c:pt idx="20">
                  <c:v>9288.5609999999979</c:v>
                </c:pt>
              </c:numCache>
            </c:numRef>
          </c:val>
        </c:ser>
        <c:ser>
          <c:idx val="9"/>
          <c:order val="9"/>
          <c:tx>
            <c:strRef>
              <c:f>Brackish_GW_Levels!$H$29</c:f>
              <c:strCache>
                <c:ptCount val="1"/>
                <c:pt idx="0">
                  <c:v>San Jacinto Lower Pressure GW Prod</c:v>
                </c:pt>
              </c:strCache>
            </c:strRef>
          </c:tx>
          <c:invertIfNegative val="0"/>
          <c:val>
            <c:numRef>
              <c:f>Brackish_GW_Levels!$H$30:$H$50</c:f>
              <c:numCache>
                <c:formatCode>#,##0</c:formatCode>
                <c:ptCount val="21"/>
                <c:pt idx="0">
                  <c:v>923.6899999999996</c:v>
                </c:pt>
                <c:pt idx="1">
                  <c:v>983.79000000000008</c:v>
                </c:pt>
                <c:pt idx="2">
                  <c:v>928.75999999999988</c:v>
                </c:pt>
                <c:pt idx="3">
                  <c:v>816.7399999999999</c:v>
                </c:pt>
                <c:pt idx="4">
                  <c:v>594.71999999999969</c:v>
                </c:pt>
                <c:pt idx="5">
                  <c:v>879.7099999999997</c:v>
                </c:pt>
                <c:pt idx="6">
                  <c:v>935.59900000000005</c:v>
                </c:pt>
                <c:pt idx="7">
                  <c:v>684.6500000000002</c:v>
                </c:pt>
                <c:pt idx="8">
                  <c:v>450.40210000000008</c:v>
                </c:pt>
                <c:pt idx="9">
                  <c:v>344.7405</c:v>
                </c:pt>
                <c:pt idx="10">
                  <c:v>312.03999999999996</c:v>
                </c:pt>
                <c:pt idx="11">
                  <c:v>407.59000000000003</c:v>
                </c:pt>
                <c:pt idx="12">
                  <c:v>416.14000000000004</c:v>
                </c:pt>
                <c:pt idx="13">
                  <c:v>148.82659999999998</c:v>
                </c:pt>
                <c:pt idx="14">
                  <c:v>228.19800000000001</c:v>
                </c:pt>
                <c:pt idx="15">
                  <c:v>199.94</c:v>
                </c:pt>
                <c:pt idx="16">
                  <c:v>175.07061399999998</c:v>
                </c:pt>
                <c:pt idx="17">
                  <c:v>244.36999999999998</c:v>
                </c:pt>
                <c:pt idx="18">
                  <c:v>1067.5149999999996</c:v>
                </c:pt>
                <c:pt idx="19">
                  <c:v>1168.0879999939998</c:v>
                </c:pt>
                <c:pt idx="20">
                  <c:v>503.96300000000002</c:v>
                </c:pt>
              </c:numCache>
            </c:numRef>
          </c:val>
        </c:ser>
        <c:dLbls>
          <c:showLegendKey val="0"/>
          <c:showVal val="0"/>
          <c:showCatName val="0"/>
          <c:showSerName val="0"/>
          <c:showPercent val="0"/>
          <c:showBubbleSize val="0"/>
        </c:dLbls>
        <c:gapWidth val="150"/>
        <c:overlap val="100"/>
        <c:axId val="123161088"/>
        <c:axId val="113842368"/>
      </c:barChart>
      <c:lineChart>
        <c:grouping val="standard"/>
        <c:varyColors val="0"/>
        <c:ser>
          <c:idx val="0"/>
          <c:order val="0"/>
          <c:tx>
            <c:strRef>
              <c:f>Brackish_GW_Levels!$E$4</c:f>
              <c:strCache>
                <c:ptCount val="1"/>
                <c:pt idx="0">
                  <c:v>Lakeview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Brackish_GW_Levels!$E$5:$E$25</c:f>
              <c:numCache>
                <c:formatCode>0.00</c:formatCode>
                <c:ptCount val="21"/>
                <c:pt idx="0">
                  <c:v>259.17</c:v>
                </c:pt>
                <c:pt idx="1">
                  <c:v>256.01976744186038</c:v>
                </c:pt>
                <c:pt idx="2">
                  <c:v>248.84367346938771</c:v>
                </c:pt>
                <c:pt idx="3">
                  <c:v>248.9675471698113</c:v>
                </c:pt>
                <c:pt idx="4">
                  <c:v>242.32452830188677</c:v>
                </c:pt>
                <c:pt idx="5">
                  <c:v>235.25084745762717</c:v>
                </c:pt>
                <c:pt idx="6">
                  <c:v>232.41481481481478</c:v>
                </c:pt>
                <c:pt idx="7">
                  <c:v>226.08703703703705</c:v>
                </c:pt>
                <c:pt idx="8">
                  <c:v>220.51499999999996</c:v>
                </c:pt>
                <c:pt idx="9">
                  <c:v>211.79491525423731</c:v>
                </c:pt>
                <c:pt idx="10">
                  <c:v>204.27213114754105</c:v>
                </c:pt>
                <c:pt idx="11">
                  <c:v>202.98461538461547</c:v>
                </c:pt>
                <c:pt idx="12">
                  <c:v>189.55614035087711</c:v>
                </c:pt>
                <c:pt idx="13">
                  <c:v>180.13571428571433</c:v>
                </c:pt>
                <c:pt idx="14">
                  <c:v>178.42812500000002</c:v>
                </c:pt>
                <c:pt idx="15">
                  <c:v>183.84482758620695</c:v>
                </c:pt>
                <c:pt idx="16">
                  <c:v>182.31228070175447</c:v>
                </c:pt>
                <c:pt idx="17">
                  <c:v>179.47735849056599</c:v>
                </c:pt>
                <c:pt idx="18">
                  <c:v>172.91875000000002</c:v>
                </c:pt>
                <c:pt idx="19">
                  <c:v>183.86296296296297</c:v>
                </c:pt>
                <c:pt idx="20">
                  <c:v>174.94827586206895</c:v>
                </c:pt>
              </c:numCache>
            </c:numRef>
          </c:val>
          <c:smooth val="1"/>
        </c:ser>
        <c:ser>
          <c:idx val="1"/>
          <c:order val="1"/>
          <c:tx>
            <c:strRef>
              <c:f>Brackish_GW_Levels!$F$4</c:f>
              <c:strCache>
                <c:ptCount val="1"/>
                <c:pt idx="0">
                  <c:v>Menifee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Brackish_GW_Levels!$F$5:$F$25</c:f>
              <c:numCache>
                <c:formatCode>0.00</c:formatCode>
                <c:ptCount val="21"/>
                <c:pt idx="0">
                  <c:v>97.665333333333294</c:v>
                </c:pt>
                <c:pt idx="1">
                  <c:v>99.628571428571419</c:v>
                </c:pt>
                <c:pt idx="2">
                  <c:v>103.24459459459457</c:v>
                </c:pt>
                <c:pt idx="3">
                  <c:v>96.927045454545407</c:v>
                </c:pt>
                <c:pt idx="4">
                  <c:v>95.415151515151521</c:v>
                </c:pt>
                <c:pt idx="5">
                  <c:v>102.18285714285716</c:v>
                </c:pt>
                <c:pt idx="6">
                  <c:v>101.12222222222222</c:v>
                </c:pt>
                <c:pt idx="7">
                  <c:v>106.45909090909093</c:v>
                </c:pt>
                <c:pt idx="8">
                  <c:v>106.09767441860467</c:v>
                </c:pt>
                <c:pt idx="9">
                  <c:v>108.50454545454544</c:v>
                </c:pt>
                <c:pt idx="10">
                  <c:v>102.30952380952378</c:v>
                </c:pt>
                <c:pt idx="11">
                  <c:v>101.86499999999998</c:v>
                </c:pt>
                <c:pt idx="12">
                  <c:v>106.11621621621623</c:v>
                </c:pt>
                <c:pt idx="13">
                  <c:v>105.7972222222222</c:v>
                </c:pt>
                <c:pt idx="14">
                  <c:v>102.925</c:v>
                </c:pt>
                <c:pt idx="15">
                  <c:v>94.858333333333306</c:v>
                </c:pt>
                <c:pt idx="16">
                  <c:v>90.074999999999989</c:v>
                </c:pt>
                <c:pt idx="17">
                  <c:v>88.070588235294125</c:v>
                </c:pt>
                <c:pt idx="18">
                  <c:v>91.90303030303032</c:v>
                </c:pt>
                <c:pt idx="19">
                  <c:v>96.387096774193523</c:v>
                </c:pt>
                <c:pt idx="20">
                  <c:v>92.690909090909102</c:v>
                </c:pt>
              </c:numCache>
            </c:numRef>
          </c:val>
          <c:smooth val="1"/>
        </c:ser>
        <c:ser>
          <c:idx val="2"/>
          <c:order val="2"/>
          <c:tx>
            <c:strRef>
              <c:f>Brackish_GW_Levels!$G$4</c:f>
              <c:strCache>
                <c:ptCount val="1"/>
                <c:pt idx="0">
                  <c:v>Perris North GMZ</c:v>
                </c:pt>
              </c:strCache>
            </c:strRef>
          </c:tx>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Brackish_GW_Levels!$G$5:$G$25</c:f>
              <c:numCache>
                <c:formatCode>0.00</c:formatCode>
                <c:ptCount val="21"/>
                <c:pt idx="0">
                  <c:v>129.23170731707313</c:v>
                </c:pt>
                <c:pt idx="1">
                  <c:v>137.12437499999996</c:v>
                </c:pt>
                <c:pt idx="2">
                  <c:v>123.97719101123597</c:v>
                </c:pt>
                <c:pt idx="3">
                  <c:v>108.70183673469388</c:v>
                </c:pt>
                <c:pt idx="4">
                  <c:v>118.09819444444449</c:v>
                </c:pt>
                <c:pt idx="5">
                  <c:v>114.55540540540541</c:v>
                </c:pt>
                <c:pt idx="6">
                  <c:v>103.73432835820898</c:v>
                </c:pt>
                <c:pt idx="7">
                  <c:v>104.00999999999999</c:v>
                </c:pt>
                <c:pt idx="8">
                  <c:v>112.15897435897438</c:v>
                </c:pt>
                <c:pt idx="9">
                  <c:v>81.747899159663859</c:v>
                </c:pt>
                <c:pt idx="10">
                  <c:v>98.15568181818179</c:v>
                </c:pt>
                <c:pt idx="11">
                  <c:v>92.35064935064932</c:v>
                </c:pt>
                <c:pt idx="12">
                  <c:v>60.961235955056189</c:v>
                </c:pt>
                <c:pt idx="13">
                  <c:v>92.376190476190487</c:v>
                </c:pt>
                <c:pt idx="14">
                  <c:v>73.726495726495699</c:v>
                </c:pt>
                <c:pt idx="15">
                  <c:v>92.01604938271602</c:v>
                </c:pt>
                <c:pt idx="16">
                  <c:v>80.934883720930273</c:v>
                </c:pt>
                <c:pt idx="17">
                  <c:v>81.22790697674418</c:v>
                </c:pt>
                <c:pt idx="18">
                  <c:v>66.626363636363607</c:v>
                </c:pt>
                <c:pt idx="19">
                  <c:v>70.843181818181819</c:v>
                </c:pt>
                <c:pt idx="20">
                  <c:v>73.128301886792443</c:v>
                </c:pt>
              </c:numCache>
            </c:numRef>
          </c:val>
          <c:smooth val="1"/>
        </c:ser>
        <c:ser>
          <c:idx val="3"/>
          <c:order val="3"/>
          <c:tx>
            <c:strRef>
              <c:f>Brackish_GW_Levels!$H$4</c:f>
              <c:strCache>
                <c:ptCount val="1"/>
                <c:pt idx="0">
                  <c:v>Perris South GMZ</c:v>
                </c:pt>
              </c:strCache>
            </c:strRef>
          </c:tx>
          <c:spPr>
            <a:ln>
              <a:prstDash val="sysDash"/>
            </a:ln>
          </c:spPr>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Brackish_GW_Levels!$H$5:$H$25</c:f>
              <c:numCache>
                <c:formatCode>0.00</c:formatCode>
                <c:ptCount val="21"/>
                <c:pt idx="0">
                  <c:v>49.272426035502988</c:v>
                </c:pt>
                <c:pt idx="1">
                  <c:v>54.591401273885374</c:v>
                </c:pt>
                <c:pt idx="2">
                  <c:v>60.824357142857181</c:v>
                </c:pt>
                <c:pt idx="3">
                  <c:v>54.863776223776242</c:v>
                </c:pt>
                <c:pt idx="4">
                  <c:v>57.643617021276619</c:v>
                </c:pt>
                <c:pt idx="5">
                  <c:v>54.591578947368419</c:v>
                </c:pt>
                <c:pt idx="6">
                  <c:v>52.486075949367063</c:v>
                </c:pt>
                <c:pt idx="7">
                  <c:v>53.456000000000024</c:v>
                </c:pt>
                <c:pt idx="8">
                  <c:v>48.44961240310078</c:v>
                </c:pt>
                <c:pt idx="9">
                  <c:v>47.835714285714303</c:v>
                </c:pt>
                <c:pt idx="10">
                  <c:v>42.456097560975621</c:v>
                </c:pt>
                <c:pt idx="11">
                  <c:v>43.948387096774191</c:v>
                </c:pt>
                <c:pt idx="12">
                  <c:v>50.316788321167877</c:v>
                </c:pt>
                <c:pt idx="13">
                  <c:v>53.227374301675979</c:v>
                </c:pt>
                <c:pt idx="14">
                  <c:v>53.83595505617982</c:v>
                </c:pt>
                <c:pt idx="15">
                  <c:v>50.732467532467517</c:v>
                </c:pt>
                <c:pt idx="16">
                  <c:v>50.990419161676655</c:v>
                </c:pt>
                <c:pt idx="17">
                  <c:v>50.672781065088742</c:v>
                </c:pt>
                <c:pt idx="18">
                  <c:v>53.679888268156375</c:v>
                </c:pt>
                <c:pt idx="19">
                  <c:v>51.242657342657324</c:v>
                </c:pt>
                <c:pt idx="20">
                  <c:v>49.036134453781507</c:v>
                </c:pt>
              </c:numCache>
            </c:numRef>
          </c:val>
          <c:smooth val="1"/>
        </c:ser>
        <c:ser>
          <c:idx val="4"/>
          <c:order val="4"/>
          <c:tx>
            <c:strRef>
              <c:f>Brackish_GW_Levels!$I$4</c:f>
              <c:strCache>
                <c:ptCount val="1"/>
                <c:pt idx="0">
                  <c:v>San Jacinto Lower Pressure GMZ</c:v>
                </c:pt>
              </c:strCache>
            </c:strRef>
          </c:tx>
          <c:spPr>
            <a:ln>
              <a:prstDash val="dash"/>
            </a:ln>
          </c:spPr>
          <c:marker>
            <c:symbol val="none"/>
          </c:marker>
          <c:cat>
            <c:numRef>
              <c:f>Brackish_GW_Levels!$C$5:$C$25</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Brackish_GW_Levels!$I$5:$I$25</c:f>
              <c:numCache>
                <c:formatCode>0.00</c:formatCode>
                <c:ptCount val="21"/>
                <c:pt idx="0">
                  <c:v>162.59687500000007</c:v>
                </c:pt>
                <c:pt idx="1">
                  <c:v>187.05115384615391</c:v>
                </c:pt>
                <c:pt idx="2">
                  <c:v>191.77944444444449</c:v>
                </c:pt>
                <c:pt idx="3">
                  <c:v>191.1330303030303</c:v>
                </c:pt>
                <c:pt idx="4">
                  <c:v>182.28333333333336</c:v>
                </c:pt>
                <c:pt idx="5">
                  <c:v>182.44242424242424</c:v>
                </c:pt>
                <c:pt idx="6">
                  <c:v>185.73225806451612</c:v>
                </c:pt>
                <c:pt idx="7">
                  <c:v>171.88000000000002</c:v>
                </c:pt>
                <c:pt idx="8">
                  <c:v>159.84186046511624</c:v>
                </c:pt>
                <c:pt idx="9">
                  <c:v>165.47954545454542</c:v>
                </c:pt>
                <c:pt idx="10">
                  <c:v>159.58823529411765</c:v>
                </c:pt>
                <c:pt idx="11">
                  <c:v>160.5605263157895</c:v>
                </c:pt>
                <c:pt idx="12">
                  <c:v>156.36739130434779</c:v>
                </c:pt>
                <c:pt idx="13">
                  <c:v>160.50681818181826</c:v>
                </c:pt>
                <c:pt idx="14">
                  <c:v>158.44565217391309</c:v>
                </c:pt>
                <c:pt idx="15">
                  <c:v>157.64666666666665</c:v>
                </c:pt>
                <c:pt idx="16">
                  <c:v>156.18809523809529</c:v>
                </c:pt>
                <c:pt idx="17">
                  <c:v>152.02444444444441</c:v>
                </c:pt>
                <c:pt idx="18">
                  <c:v>127.06060606060609</c:v>
                </c:pt>
                <c:pt idx="19">
                  <c:v>142.51428571428568</c:v>
                </c:pt>
                <c:pt idx="20">
                  <c:v>137.34750000000003</c:v>
                </c:pt>
              </c:numCache>
            </c:numRef>
          </c:val>
          <c:smooth val="1"/>
        </c:ser>
        <c:dLbls>
          <c:showLegendKey val="0"/>
          <c:showVal val="0"/>
          <c:showCatName val="0"/>
          <c:showSerName val="0"/>
          <c:showPercent val="0"/>
          <c:showBubbleSize val="0"/>
        </c:dLbls>
        <c:marker val="1"/>
        <c:smooth val="0"/>
        <c:axId val="123162112"/>
        <c:axId val="113842944"/>
      </c:lineChart>
      <c:catAx>
        <c:axId val="123161088"/>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113842368"/>
        <c:crosses val="autoZero"/>
        <c:auto val="1"/>
        <c:lblAlgn val="ctr"/>
        <c:lblOffset val="100"/>
        <c:noMultiLvlLbl val="0"/>
      </c:catAx>
      <c:valAx>
        <c:axId val="113842368"/>
        <c:scaling>
          <c:orientation val="minMax"/>
          <c:max val="60000"/>
          <c:min val="0"/>
        </c:scaling>
        <c:delete val="0"/>
        <c:axPos val="l"/>
        <c:majorGridlines/>
        <c:title>
          <c:tx>
            <c:rich>
              <a:bodyPr rot="-5400000" vert="horz"/>
              <a:lstStyle/>
              <a:p>
                <a:pPr>
                  <a:defRPr/>
                </a:pPr>
                <a:r>
                  <a:rPr lang="en-US"/>
                  <a:t>Annual Groundwater Production (AF)</a:t>
                </a:r>
              </a:p>
            </c:rich>
          </c:tx>
          <c:overlay val="0"/>
        </c:title>
        <c:numFmt formatCode="#,##0" sourceLinked="1"/>
        <c:majorTickMark val="out"/>
        <c:minorTickMark val="none"/>
        <c:tickLblPos val="nextTo"/>
        <c:crossAx val="123161088"/>
        <c:crosses val="autoZero"/>
        <c:crossBetween val="between"/>
        <c:majorUnit val="10000"/>
      </c:valAx>
      <c:valAx>
        <c:axId val="113842944"/>
        <c:scaling>
          <c:orientation val="maxMin"/>
        </c:scaling>
        <c:delete val="0"/>
        <c:axPos val="r"/>
        <c:title>
          <c:tx>
            <c:rich>
              <a:bodyPr rot="-5400000" vert="horz"/>
              <a:lstStyle/>
              <a:p>
                <a:pPr>
                  <a:defRPr/>
                </a:pPr>
                <a:r>
                  <a:rPr lang="en-US"/>
                  <a:t>Average Depth</a:t>
                </a:r>
                <a:r>
                  <a:rPr lang="en-US" baseline="0"/>
                  <a:t> to Groundwater (ft)</a:t>
                </a:r>
                <a:endParaRPr lang="en-US"/>
              </a:p>
            </c:rich>
          </c:tx>
          <c:overlay val="0"/>
        </c:title>
        <c:numFmt formatCode="0" sourceLinked="0"/>
        <c:majorTickMark val="out"/>
        <c:minorTickMark val="none"/>
        <c:tickLblPos val="nextTo"/>
        <c:crossAx val="123162112"/>
        <c:crosses val="max"/>
        <c:crossBetween val="between"/>
      </c:valAx>
      <c:catAx>
        <c:axId val="123162112"/>
        <c:scaling>
          <c:orientation val="minMax"/>
        </c:scaling>
        <c:delete val="1"/>
        <c:axPos val="t"/>
        <c:numFmt formatCode="0" sourceLinked="1"/>
        <c:majorTickMark val="out"/>
        <c:minorTickMark val="none"/>
        <c:tickLblPos val="nextTo"/>
        <c:crossAx val="113842944"/>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28575</xdr:colOff>
      <xdr:row>2</xdr:row>
      <xdr:rowOff>14287</xdr:rowOff>
    </xdr:from>
    <xdr:to>
      <xdr:col>21</xdr:col>
      <xdr:colOff>333375</xdr:colOff>
      <xdr:row>16</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180974</xdr:colOff>
      <xdr:row>30</xdr:row>
      <xdr:rowOff>176212</xdr:rowOff>
    </xdr:from>
    <xdr:to>
      <xdr:col>27</xdr:col>
      <xdr:colOff>0</xdr:colOff>
      <xdr:row>62</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95250</xdr:rowOff>
    </xdr:from>
    <xdr:to>
      <xdr:col>26</xdr:col>
      <xdr:colOff>600075</xdr:colOff>
      <xdr:row>29</xdr:row>
      <xdr:rowOff>80963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7B8"/>
    <pageSetUpPr fitToPage="1"/>
  </sheetPr>
  <dimension ref="C1:L26"/>
  <sheetViews>
    <sheetView tabSelected="1" workbookViewId="0">
      <selection activeCell="R23" sqref="R23"/>
    </sheetView>
  </sheetViews>
  <sheetFormatPr defaultRowHeight="15" x14ac:dyDescent="0.25"/>
  <cols>
    <col min="1" max="2" width="2.7109375" customWidth="1"/>
    <col min="3" max="3" width="25.7109375" customWidth="1"/>
    <col min="4" max="6" width="10.7109375" customWidth="1"/>
    <col min="7" max="8" width="2.7109375" customWidth="1"/>
    <col min="9" max="9" width="33.7109375" customWidth="1"/>
    <col min="10" max="12" width="10.7109375" customWidth="1"/>
    <col min="13" max="14" width="2.7109375" customWidth="1"/>
  </cols>
  <sheetData>
    <row r="1" spans="3:12" x14ac:dyDescent="0.25">
      <c r="C1" s="36"/>
    </row>
    <row r="3" spans="3:12" ht="15.75" x14ac:dyDescent="0.25">
      <c r="C3" s="6" t="s">
        <v>161</v>
      </c>
      <c r="D3" s="7"/>
      <c r="E3" s="7"/>
      <c r="F3" s="7"/>
      <c r="I3" s="6" t="s">
        <v>150</v>
      </c>
      <c r="J3" s="7"/>
      <c r="K3" s="7"/>
      <c r="L3" s="7"/>
    </row>
    <row r="4" spans="3:12" x14ac:dyDescent="0.25">
      <c r="C4" s="58" t="s">
        <v>119</v>
      </c>
      <c r="D4" s="44">
        <v>2017</v>
      </c>
      <c r="E4" s="43">
        <v>2018</v>
      </c>
      <c r="F4" s="45">
        <v>2019</v>
      </c>
      <c r="I4" s="58" t="s">
        <v>151</v>
      </c>
      <c r="J4" s="44">
        <v>2017</v>
      </c>
      <c r="K4" s="43">
        <v>2018</v>
      </c>
      <c r="L4" s="45">
        <v>2019</v>
      </c>
    </row>
    <row r="5" spans="3:12" ht="15.75" x14ac:dyDescent="0.25">
      <c r="C5" s="63" t="s">
        <v>159</v>
      </c>
      <c r="D5" s="27">
        <f ca="1">Well_Proj!O23</f>
        <v>15269.108693014368</v>
      </c>
      <c r="E5" s="27">
        <f ca="1">Well_Proj!P23</f>
        <v>14709.782744609092</v>
      </c>
      <c r="F5" s="27">
        <f ca="1">Well_Proj!Q23</f>
        <v>14556.575425606148</v>
      </c>
      <c r="I5" s="15" t="s">
        <v>152</v>
      </c>
      <c r="J5" s="27">
        <f>Demands!$D$8</f>
        <v>88969</v>
      </c>
      <c r="K5" s="27">
        <f>Demands!$D$8</f>
        <v>88969</v>
      </c>
      <c r="L5" s="27">
        <f>Demands!$D$8</f>
        <v>88969</v>
      </c>
    </row>
    <row r="6" spans="3:12" ht="15.75" x14ac:dyDescent="0.25">
      <c r="C6" s="63" t="s">
        <v>160</v>
      </c>
      <c r="D6" s="27">
        <f>Desalination_Well_Prod!$G$12</f>
        <v>7287.8949999999986</v>
      </c>
      <c r="E6" s="27">
        <f>Desalination_Well_Prod!$G$12</f>
        <v>7287.8949999999986</v>
      </c>
      <c r="F6" s="27">
        <f>Desalination_Well_Prod!$G$12</f>
        <v>7287.8949999999986</v>
      </c>
      <c r="I6" s="15" t="s">
        <v>148</v>
      </c>
      <c r="J6" s="27">
        <v>30440</v>
      </c>
      <c r="K6" s="27">
        <v>32307</v>
      </c>
      <c r="L6" s="27">
        <v>33389</v>
      </c>
    </row>
    <row r="7" spans="3:12" x14ac:dyDescent="0.25">
      <c r="C7" s="1"/>
      <c r="D7" s="3"/>
      <c r="E7" s="3"/>
      <c r="F7" s="3"/>
    </row>
    <row r="8" spans="3:12" x14ac:dyDescent="0.25">
      <c r="C8" s="6" t="s">
        <v>145</v>
      </c>
      <c r="D8" s="7"/>
      <c r="E8" s="7"/>
      <c r="F8" s="7"/>
      <c r="I8" s="48" t="s">
        <v>153</v>
      </c>
      <c r="J8" s="3">
        <f>SUM(J5:J6)</f>
        <v>119409</v>
      </c>
      <c r="K8" s="3">
        <f t="shared" ref="K8:L8" si="0">SUM(K5:K6)</f>
        <v>121276</v>
      </c>
      <c r="L8" s="3">
        <f t="shared" si="0"/>
        <v>122358</v>
      </c>
    </row>
    <row r="9" spans="3:12" x14ac:dyDescent="0.25">
      <c r="C9" s="58" t="s">
        <v>119</v>
      </c>
      <c r="D9" s="44">
        <v>2017</v>
      </c>
      <c r="E9" s="43">
        <v>2018</v>
      </c>
      <c r="F9" s="45">
        <v>2019</v>
      </c>
      <c r="I9" s="67" t="s">
        <v>154</v>
      </c>
      <c r="J9" s="3">
        <f ca="1">J8-D12</f>
        <v>-365.00369301436876</v>
      </c>
      <c r="K9" s="3">
        <f t="shared" ref="K9:L9" ca="1" si="1">K8-E12</f>
        <v>-526.67774460910005</v>
      </c>
      <c r="L9" s="3">
        <f t="shared" ca="1" si="1"/>
        <v>-539.47042560615228</v>
      </c>
    </row>
    <row r="10" spans="3:12" x14ac:dyDescent="0.25">
      <c r="C10" s="63" t="s">
        <v>146</v>
      </c>
      <c r="D10" s="27">
        <v>97217</v>
      </c>
      <c r="E10" s="27">
        <v>99805</v>
      </c>
      <c r="F10" s="27">
        <v>101053</v>
      </c>
    </row>
    <row r="11" spans="3:12" x14ac:dyDescent="0.25">
      <c r="C11" s="1"/>
      <c r="D11" s="3"/>
      <c r="E11" s="3"/>
      <c r="F11" s="3"/>
      <c r="I11" s="6" t="s">
        <v>155</v>
      </c>
      <c r="J11" s="7"/>
      <c r="K11" s="7"/>
      <c r="L11" s="7"/>
    </row>
    <row r="12" spans="3:12" x14ac:dyDescent="0.25">
      <c r="C12" s="48" t="s">
        <v>147</v>
      </c>
      <c r="D12" s="3">
        <f ca="1">D5+D6+D10</f>
        <v>119774.00369301437</v>
      </c>
      <c r="E12" s="3">
        <f t="shared" ref="E12:F12" ca="1" si="2">E5+E6+E10</f>
        <v>121802.6777446091</v>
      </c>
      <c r="F12" s="3">
        <f t="shared" ca="1" si="2"/>
        <v>122897.47042560615</v>
      </c>
      <c r="I12" s="58" t="s">
        <v>156</v>
      </c>
      <c r="J12" s="44">
        <v>2017</v>
      </c>
      <c r="K12" s="43">
        <v>2018</v>
      </c>
      <c r="L12" s="45">
        <v>2019</v>
      </c>
    </row>
    <row r="13" spans="3:12" x14ac:dyDescent="0.25">
      <c r="C13" s="67"/>
      <c r="D13" s="3"/>
      <c r="E13" s="3"/>
      <c r="F13" s="3"/>
      <c r="I13" s="15" t="s">
        <v>152</v>
      </c>
      <c r="J13" s="27">
        <f>J5</f>
        <v>88969</v>
      </c>
      <c r="K13" s="27">
        <f t="shared" ref="K13:L13" si="3">K5</f>
        <v>88969</v>
      </c>
      <c r="L13" s="27">
        <f t="shared" si="3"/>
        <v>88969</v>
      </c>
    </row>
    <row r="14" spans="3:12" x14ac:dyDescent="0.25">
      <c r="C14" s="1"/>
      <c r="D14" s="3"/>
      <c r="E14" s="3"/>
      <c r="F14" s="3"/>
      <c r="I14" s="15" t="s">
        <v>157</v>
      </c>
      <c r="J14" s="27">
        <f ca="1">D12-J6</f>
        <v>89334.003693014369</v>
      </c>
      <c r="K14" s="27">
        <f t="shared" ref="K14:L14" ca="1" si="4">E12-K6</f>
        <v>89495.6777446091</v>
      </c>
      <c r="L14" s="27">
        <f t="shared" ca="1" si="4"/>
        <v>89508.470425606152</v>
      </c>
    </row>
    <row r="15" spans="3:12" x14ac:dyDescent="0.25">
      <c r="C15" s="1"/>
      <c r="D15" s="3"/>
      <c r="E15" s="3"/>
      <c r="F15" s="3"/>
      <c r="I15" s="2"/>
      <c r="J15" s="3"/>
      <c r="K15" s="3"/>
      <c r="L15" s="3"/>
    </row>
    <row r="16" spans="3:12" x14ac:dyDescent="0.25">
      <c r="C16" s="1"/>
      <c r="D16" s="3"/>
      <c r="E16" s="3"/>
      <c r="F16" s="3"/>
      <c r="I16" s="48" t="s">
        <v>154</v>
      </c>
      <c r="J16" s="49">
        <f ca="1">J13-J14</f>
        <v>-365.00369301436876</v>
      </c>
      <c r="K16" s="49">
        <f t="shared" ref="K16:L16" ca="1" si="5">K13-K14</f>
        <v>-526.67774460910005</v>
      </c>
      <c r="L16" s="49">
        <f t="shared" ca="1" si="5"/>
        <v>-539.47042560615228</v>
      </c>
    </row>
    <row r="17" spans="3:12" x14ac:dyDescent="0.25">
      <c r="C17" s="1"/>
      <c r="D17" s="3"/>
      <c r="E17" s="3"/>
      <c r="F17" s="3"/>
      <c r="I17" s="48"/>
      <c r="K17" s="48" t="s">
        <v>158</v>
      </c>
      <c r="L17" s="68">
        <f ca="1">MAX((L13-L14)/L13,0)</f>
        <v>0</v>
      </c>
    </row>
    <row r="18" spans="3:12" x14ac:dyDescent="0.25">
      <c r="C18" s="1"/>
      <c r="D18" s="3"/>
      <c r="E18" s="3"/>
      <c r="F18" s="3"/>
      <c r="I18" s="48"/>
      <c r="K18" s="48"/>
      <c r="L18" s="68"/>
    </row>
    <row r="19" spans="3:12" x14ac:dyDescent="0.25">
      <c r="C19" s="56" t="s">
        <v>44</v>
      </c>
      <c r="D19" s="32"/>
      <c r="E19" s="32"/>
      <c r="F19" s="32"/>
      <c r="G19" s="32"/>
      <c r="H19" s="32"/>
      <c r="I19" s="32"/>
      <c r="J19" s="32"/>
      <c r="K19" s="32"/>
      <c r="L19" s="32"/>
    </row>
    <row r="20" spans="3:12" ht="25.5" customHeight="1" x14ac:dyDescent="0.25">
      <c r="C20" s="69" t="s">
        <v>122</v>
      </c>
      <c r="D20" s="69"/>
      <c r="E20" s="69"/>
      <c r="F20" s="69"/>
      <c r="G20" s="69"/>
      <c r="H20" s="69"/>
      <c r="I20" s="69"/>
      <c r="J20" s="69"/>
      <c r="K20" s="69"/>
      <c r="L20" s="69"/>
    </row>
    <row r="21" spans="3:12" ht="12.75" customHeight="1" x14ac:dyDescent="0.25">
      <c r="C21" s="70" t="s">
        <v>120</v>
      </c>
      <c r="D21" s="70"/>
      <c r="E21" s="70"/>
      <c r="F21" s="70"/>
      <c r="G21" s="70"/>
      <c r="H21" s="70"/>
      <c r="I21" s="70"/>
      <c r="J21" s="70"/>
      <c r="K21" s="70"/>
      <c r="L21" s="70"/>
    </row>
    <row r="22" spans="3:12" ht="15" customHeight="1" x14ac:dyDescent="0.25">
      <c r="C22" s="70" t="s">
        <v>121</v>
      </c>
      <c r="D22" s="70"/>
      <c r="E22" s="70"/>
      <c r="F22" s="70"/>
      <c r="G22" s="70"/>
      <c r="H22" s="70"/>
      <c r="I22" s="70"/>
      <c r="J22" s="70"/>
      <c r="K22" s="70"/>
      <c r="L22" s="70"/>
    </row>
    <row r="23" spans="3:12" ht="25.5" customHeight="1" x14ac:dyDescent="0.25">
      <c r="C23" s="70" t="s">
        <v>149</v>
      </c>
      <c r="D23" s="70"/>
      <c r="E23" s="70"/>
      <c r="F23" s="70"/>
      <c r="G23" s="70"/>
      <c r="H23" s="70"/>
      <c r="I23" s="70"/>
      <c r="J23" s="70"/>
      <c r="K23" s="70"/>
      <c r="L23" s="70"/>
    </row>
    <row r="25" spans="3:12" x14ac:dyDescent="0.25">
      <c r="C25" s="8" t="s">
        <v>124</v>
      </c>
      <c r="D25" s="9"/>
      <c r="E25" s="9"/>
      <c r="F25" s="9"/>
      <c r="G25" s="8"/>
      <c r="H25" s="9"/>
      <c r="I25" s="9"/>
      <c r="J25" s="9"/>
      <c r="K25" s="8"/>
      <c r="L25" s="9"/>
    </row>
    <row r="26" spans="3:12" ht="273.75" customHeight="1" x14ac:dyDescent="0.25">
      <c r="C26" s="71" t="s">
        <v>162</v>
      </c>
      <c r="D26" s="72"/>
      <c r="E26" s="72"/>
      <c r="F26" s="72"/>
      <c r="G26" s="72"/>
      <c r="H26" s="72"/>
      <c r="I26" s="72"/>
      <c r="J26" s="72"/>
      <c r="K26" s="72"/>
      <c r="L26" s="73"/>
    </row>
  </sheetData>
  <mergeCells count="5">
    <mergeCell ref="C20:L20"/>
    <mergeCell ref="C21:L21"/>
    <mergeCell ref="C22:L22"/>
    <mergeCell ref="C23:L23"/>
    <mergeCell ref="C26:L26"/>
  </mergeCells>
  <pageMargins left="0.7" right="0.7"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2C83"/>
  </sheetPr>
  <dimension ref="C3:D8"/>
  <sheetViews>
    <sheetView workbookViewId="0">
      <selection activeCell="N24" sqref="N24"/>
    </sheetView>
  </sheetViews>
  <sheetFormatPr defaultRowHeight="15" x14ac:dyDescent="0.25"/>
  <cols>
    <col min="1" max="2" width="2.7109375" customWidth="1"/>
    <col min="3" max="4" width="12.7109375" customWidth="1"/>
  </cols>
  <sheetData>
    <row r="3" spans="3:4" x14ac:dyDescent="0.25">
      <c r="C3" s="8" t="s">
        <v>142</v>
      </c>
      <c r="D3" s="8"/>
    </row>
    <row r="4" spans="3:4" x14ac:dyDescent="0.25">
      <c r="C4" s="11" t="s">
        <v>67</v>
      </c>
      <c r="D4" s="11" t="s">
        <v>143</v>
      </c>
    </row>
    <row r="5" spans="3:4" x14ac:dyDescent="0.25">
      <c r="C5" s="14">
        <v>2013</v>
      </c>
      <c r="D5" s="27">
        <v>88855</v>
      </c>
    </row>
    <row r="6" spans="3:4" x14ac:dyDescent="0.25">
      <c r="C6" s="14">
        <v>2014</v>
      </c>
      <c r="D6" s="27">
        <v>89083</v>
      </c>
    </row>
    <row r="8" spans="3:4" x14ac:dyDescent="0.25">
      <c r="C8" s="48" t="s">
        <v>144</v>
      </c>
      <c r="D8" s="3">
        <f>AVERAGE(D5:D6)</f>
        <v>88969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20"/>
    <pageSetUpPr fitToPage="1"/>
  </sheetPr>
  <dimension ref="C3:Q31"/>
  <sheetViews>
    <sheetView workbookViewId="0">
      <selection activeCell="C31" sqref="C3:Q31"/>
    </sheetView>
  </sheetViews>
  <sheetFormatPr defaultRowHeight="15" x14ac:dyDescent="0.25"/>
  <cols>
    <col min="1" max="2" width="2.7109375" customWidth="1"/>
    <col min="3" max="3" width="26" bestFit="1" customWidth="1"/>
    <col min="4" max="4" width="13.140625" bestFit="1" customWidth="1"/>
    <col min="5" max="10" width="11.7109375" customWidth="1"/>
    <col min="11" max="11" width="2.7109375" customWidth="1"/>
    <col min="12" max="12" width="3.7109375" customWidth="1"/>
    <col min="13" max="13" width="13.42578125" customWidth="1"/>
    <col min="15" max="17" width="12.7109375" customWidth="1"/>
  </cols>
  <sheetData>
    <row r="3" spans="3:17" x14ac:dyDescent="0.25">
      <c r="C3" s="6" t="s">
        <v>80</v>
      </c>
      <c r="D3" s="7"/>
      <c r="E3" s="7"/>
      <c r="F3" s="7"/>
      <c r="G3" s="7"/>
      <c r="H3" s="7"/>
      <c r="I3" s="7"/>
      <c r="J3" s="7"/>
      <c r="M3" s="6" t="s">
        <v>81</v>
      </c>
      <c r="N3" s="7"/>
      <c r="O3" s="7"/>
      <c r="P3" s="7"/>
      <c r="Q3" s="7"/>
    </row>
    <row r="4" spans="3:17" x14ac:dyDescent="0.25">
      <c r="C4" s="34" t="s">
        <v>56</v>
      </c>
      <c r="D4" s="34"/>
      <c r="E4" s="10" t="s">
        <v>73</v>
      </c>
      <c r="F4" s="10"/>
      <c r="G4" s="19" t="s">
        <v>74</v>
      </c>
      <c r="H4" s="19"/>
      <c r="I4" s="24" t="s">
        <v>75</v>
      </c>
      <c r="J4" s="24"/>
      <c r="M4" s="34" t="s">
        <v>19</v>
      </c>
      <c r="N4" s="34"/>
      <c r="O4" s="44">
        <v>2017</v>
      </c>
      <c r="P4" s="43">
        <v>2018</v>
      </c>
      <c r="Q4" s="45">
        <v>2019</v>
      </c>
    </row>
    <row r="5" spans="3:17" ht="15.75" x14ac:dyDescent="0.25">
      <c r="C5" s="11" t="s">
        <v>0</v>
      </c>
      <c r="D5" s="11" t="s">
        <v>19</v>
      </c>
      <c r="E5" s="11" t="s">
        <v>72</v>
      </c>
      <c r="F5" s="11" t="s">
        <v>76</v>
      </c>
      <c r="G5" s="11" t="s">
        <v>72</v>
      </c>
      <c r="H5" s="11" t="s">
        <v>76</v>
      </c>
      <c r="I5" s="11" t="s">
        <v>72</v>
      </c>
      <c r="J5" s="11" t="s">
        <v>76</v>
      </c>
      <c r="L5" s="46"/>
      <c r="M5" s="11" t="s">
        <v>78</v>
      </c>
      <c r="N5" s="11" t="s">
        <v>79</v>
      </c>
      <c r="O5" s="11" t="s">
        <v>82</v>
      </c>
      <c r="P5" s="11" t="s">
        <v>82</v>
      </c>
      <c r="Q5" s="11" t="s">
        <v>82</v>
      </c>
    </row>
    <row r="6" spans="3:17" x14ac:dyDescent="0.25">
      <c r="C6" s="15" t="s">
        <v>1</v>
      </c>
      <c r="D6" s="63" t="s">
        <v>21</v>
      </c>
      <c r="E6" s="61" t="s">
        <v>37</v>
      </c>
      <c r="F6" s="60"/>
      <c r="G6" s="60"/>
      <c r="H6" s="60"/>
      <c r="I6" s="60"/>
      <c r="J6" s="60"/>
      <c r="L6" s="47" t="s">
        <v>83</v>
      </c>
      <c r="M6" s="63" t="s">
        <v>22</v>
      </c>
      <c r="N6" s="27">
        <f>COUNTIF($D$6:$D$23,$M6)</f>
        <v>3</v>
      </c>
      <c r="O6" s="26">
        <f ca="1">SUMIF($D$6:$D$23,$M6,$F$6:$F$23)</f>
        <v>7006.9272646575992</v>
      </c>
      <c r="P6" s="26">
        <f ca="1">SUMIF($D$6:$D$23,$M6,$H$6:$H$23)</f>
        <v>7004.1155696763617</v>
      </c>
      <c r="Q6" s="26">
        <f ca="1">SUMIF($D$6:$D$23,$M6,$J$6:$J$23)</f>
        <v>7001.3038746951224</v>
      </c>
    </row>
    <row r="7" spans="3:17" x14ac:dyDescent="0.25">
      <c r="C7" s="15" t="s">
        <v>2</v>
      </c>
      <c r="D7" s="63" t="s">
        <v>22</v>
      </c>
      <c r="E7" s="37">
        <f ca="1">INDEX(WellLevels_2017Screen,MATCH($C7,WellLevels_Names,0),1)</f>
        <v>0.85616010006253906</v>
      </c>
      <c r="F7" s="26">
        <f ca="1">INDEX(WellProd_AnnualCapacity,MATCH($C7,WellProd_Names,0),1)*E7</f>
        <v>1924.6052146575989</v>
      </c>
      <c r="G7" s="37">
        <f ca="1">INDEX(WellLevels_2018Screen,MATCH($C7,WellLevels_Names,0),1)</f>
        <v>0.85490931832395245</v>
      </c>
      <c r="H7" s="26">
        <f ca="1">INDEX(WellProd_AnnualCapacity,MATCH($C7,WellProd_Names,0),1)*G7</f>
        <v>1921.7935196763606</v>
      </c>
      <c r="I7" s="37">
        <f ca="1">INDEX(WellLevels_2019Screen,MATCH($C7,WellLevels_Names,0),1)</f>
        <v>0.85365853658536583</v>
      </c>
      <c r="J7" s="26">
        <f ca="1">INDEX(WellProd_AnnualCapacity,MATCH($C7,WellProd_Names,0),1)*I7</f>
        <v>1918.9818246951222</v>
      </c>
      <c r="L7" s="47" t="s">
        <v>83</v>
      </c>
      <c r="M7" s="63" t="s">
        <v>23</v>
      </c>
      <c r="N7" s="27">
        <f t="shared" ref="N7:N9" si="0">COUNTIF($D$6:$D$23,$M7)</f>
        <v>1</v>
      </c>
      <c r="O7" s="26">
        <f t="shared" ref="O7:O9" ca="1" si="1">SUMIF($D$6:$D$23,$M7,$F$6:$F$23)</f>
        <v>1322.7068924999999</v>
      </c>
      <c r="P7" s="26">
        <f t="shared" ref="P7:P9" ca="1" si="2">SUMIF($D$6:$D$23,$M7,$H$6:$H$23)</f>
        <v>1322.7068924999999</v>
      </c>
      <c r="Q7" s="26">
        <f t="shared" ref="Q7:Q9" ca="1" si="3">SUMIF($D$6:$D$23,$M7,$J$6:$J$23)</f>
        <v>1322.7068924999999</v>
      </c>
    </row>
    <row r="8" spans="3:17" x14ac:dyDescent="0.25">
      <c r="C8" s="15" t="s">
        <v>3</v>
      </c>
      <c r="D8" s="63" t="s">
        <v>21</v>
      </c>
      <c r="E8" s="37">
        <f ca="1">INDEX(WellLevels_2017Screen,MATCH($C8,WellLevels_Names,0),1)</f>
        <v>1</v>
      </c>
      <c r="F8" s="26">
        <f ca="1">INDEX(WellProd_AnnualCapacity,MATCH($C8,WellProd_Names,0),1)*E8</f>
        <v>1876.5496800000003</v>
      </c>
      <c r="G8" s="37">
        <f ca="1">INDEX(WellLevels_2018Screen,MATCH($C8,WellLevels_Names,0),1)</f>
        <v>1</v>
      </c>
      <c r="H8" s="26">
        <f ca="1">INDEX(WellProd_AnnualCapacity,MATCH($C8,WellProd_Names,0),1)*G8</f>
        <v>1876.5496800000003</v>
      </c>
      <c r="I8" s="37">
        <f ca="1">INDEX(WellLevels_2019Screen,MATCH($C8,WellLevels_Names,0),1)</f>
        <v>1</v>
      </c>
      <c r="J8" s="26">
        <f ca="1">INDEX(WellProd_AnnualCapacity,MATCH($C8,WellProd_Names,0),1)*I8</f>
        <v>1876.5496800000003</v>
      </c>
      <c r="L8" s="47" t="s">
        <v>84</v>
      </c>
      <c r="M8" s="63" t="s">
        <v>24</v>
      </c>
      <c r="N8" s="27">
        <f t="shared" si="0"/>
        <v>4</v>
      </c>
      <c r="O8" s="26">
        <f t="shared" ca="1" si="1"/>
        <v>5225.8795484749999</v>
      </c>
      <c r="P8" s="26">
        <f t="shared" ca="1" si="2"/>
        <v>5239.5244558428567</v>
      </c>
      <c r="Q8" s="26">
        <f t="shared" ca="1" si="3"/>
        <v>5253.1693632107144</v>
      </c>
    </row>
    <row r="9" spans="3:17" x14ac:dyDescent="0.25">
      <c r="C9" s="15" t="s">
        <v>4</v>
      </c>
      <c r="D9" s="63" t="s">
        <v>22</v>
      </c>
      <c r="E9" s="37">
        <f ca="1">INDEX(WellLevels_2017Screen,MATCH($C9,WellLevels_Names,0),1)</f>
        <v>1</v>
      </c>
      <c r="F9" s="26">
        <f ca="1">INDEX(WellProd_AnnualCapacity,MATCH($C9,WellProd_Names,0),1)*E9</f>
        <v>3192.7407750000002</v>
      </c>
      <c r="G9" s="37">
        <f ca="1">INDEX(WellLevels_2018Screen,MATCH($C9,WellLevels_Names,0),1)</f>
        <v>1</v>
      </c>
      <c r="H9" s="26">
        <f ca="1">INDEX(WellProd_AnnualCapacity,MATCH($C9,WellProd_Names,0),1)*G9</f>
        <v>3192.7407750000002</v>
      </c>
      <c r="I9" s="37">
        <f ca="1">INDEX(WellLevels_2019Screen,MATCH($C9,WellLevels_Names,0),1)</f>
        <v>1</v>
      </c>
      <c r="J9" s="26">
        <f ca="1">INDEX(WellProd_AnnualCapacity,MATCH($C9,WellProd_Names,0),1)*I9</f>
        <v>3192.7407750000002</v>
      </c>
      <c r="L9" s="47" t="s">
        <v>83</v>
      </c>
      <c r="M9" s="63" t="s">
        <v>21</v>
      </c>
      <c r="N9" s="27">
        <f t="shared" si="0"/>
        <v>10</v>
      </c>
      <c r="O9" s="26">
        <f t="shared" ca="1" si="1"/>
        <v>13636.926846776054</v>
      </c>
      <c r="P9" s="26">
        <f t="shared" ca="1" si="2"/>
        <v>13843.311956365589</v>
      </c>
      <c r="Q9" s="26">
        <f t="shared" ca="1" si="3"/>
        <v>13981.491034298968</v>
      </c>
    </row>
    <row r="10" spans="3:17" x14ac:dyDescent="0.25">
      <c r="C10" s="15" t="s">
        <v>5</v>
      </c>
      <c r="D10" s="63" t="s">
        <v>21</v>
      </c>
      <c r="E10" s="62" t="s">
        <v>37</v>
      </c>
      <c r="F10" s="17"/>
      <c r="G10" s="17"/>
      <c r="H10" s="17"/>
      <c r="I10" s="17"/>
      <c r="J10" s="17"/>
    </row>
    <row r="11" spans="3:17" x14ac:dyDescent="0.25">
      <c r="C11" s="15" t="s">
        <v>6</v>
      </c>
      <c r="D11" s="63" t="s">
        <v>21</v>
      </c>
      <c r="E11" s="37">
        <f t="shared" ref="E11:E23" ca="1" si="4">INDEX(WellLevels_2017Screen,MATCH($C11,WellLevels_Names,0),1)</f>
        <v>1</v>
      </c>
      <c r="F11" s="26">
        <f t="shared" ref="F11:F23" ca="1" si="5">INDEX(WellProd_AnnualCapacity,MATCH($C11,WellProd_Names,0),1)*E11</f>
        <v>2032.9288200000001</v>
      </c>
      <c r="G11" s="37">
        <f t="shared" ref="G11:G23" ca="1" si="6">INDEX(WellLevels_2018Screen,MATCH($C11,WellLevels_Names,0),1)</f>
        <v>1</v>
      </c>
      <c r="H11" s="26">
        <f t="shared" ref="H11:H23" ca="1" si="7">INDEX(WellProd_AnnualCapacity,MATCH($C11,WellProd_Names,0),1)*G11</f>
        <v>2032.9288200000001</v>
      </c>
      <c r="I11" s="37">
        <f t="shared" ref="I11:I23" ca="1" si="8">INDEX(WellLevels_2019Screen,MATCH($C11,WellLevels_Names,0),1)</f>
        <v>1</v>
      </c>
      <c r="J11" s="26">
        <f t="shared" ref="J11:J23" ca="1" si="9">INDEX(WellProd_AnnualCapacity,MATCH($C11,WellProd_Names,0),1)*I11</f>
        <v>2032.9288200000001</v>
      </c>
      <c r="M11" s="6" t="s">
        <v>85</v>
      </c>
      <c r="N11" s="7"/>
      <c r="O11" s="7"/>
      <c r="P11" s="7"/>
      <c r="Q11" s="7"/>
    </row>
    <row r="12" spans="3:17" x14ac:dyDescent="0.25">
      <c r="C12" s="15" t="s">
        <v>7</v>
      </c>
      <c r="D12" s="63" t="s">
        <v>21</v>
      </c>
      <c r="E12" s="37">
        <f t="shared" ca="1" si="4"/>
        <v>0.90047619047619032</v>
      </c>
      <c r="F12" s="26">
        <f t="shared" ca="1" si="5"/>
        <v>1179.3314226535713</v>
      </c>
      <c r="G12" s="37">
        <f t="shared" ca="1" si="6"/>
        <v>0.91238095238095229</v>
      </c>
      <c r="H12" s="26">
        <f t="shared" ca="1" si="7"/>
        <v>1194.9227952428569</v>
      </c>
      <c r="I12" s="37">
        <f t="shared" ca="1" si="8"/>
        <v>0.92428571428571427</v>
      </c>
      <c r="J12" s="26">
        <f t="shared" ca="1" si="9"/>
        <v>1210.5141678321427</v>
      </c>
      <c r="M12" s="11" t="s">
        <v>78</v>
      </c>
      <c r="N12" s="11" t="s">
        <v>79</v>
      </c>
      <c r="O12" s="44">
        <v>2017</v>
      </c>
      <c r="P12" s="43">
        <v>2018</v>
      </c>
      <c r="Q12" s="45">
        <v>2019</v>
      </c>
    </row>
    <row r="13" spans="3:17" x14ac:dyDescent="0.25">
      <c r="C13" s="15" t="s">
        <v>8</v>
      </c>
      <c r="D13" s="63" t="s">
        <v>22</v>
      </c>
      <c r="E13" s="37">
        <f t="shared" ca="1" si="4"/>
        <v>1</v>
      </c>
      <c r="F13" s="26">
        <f t="shared" ca="1" si="5"/>
        <v>1889.5812750000002</v>
      </c>
      <c r="G13" s="37">
        <f t="shared" ca="1" si="6"/>
        <v>1</v>
      </c>
      <c r="H13" s="26">
        <f t="shared" ca="1" si="7"/>
        <v>1889.5812750000002</v>
      </c>
      <c r="I13" s="37">
        <f t="shared" ca="1" si="8"/>
        <v>1</v>
      </c>
      <c r="J13" s="26">
        <f t="shared" ca="1" si="9"/>
        <v>1889.5812750000002</v>
      </c>
      <c r="M13" s="63" t="s">
        <v>83</v>
      </c>
      <c r="N13" s="27">
        <f t="shared" ref="N13:Q14" si="10">SUMIF($L$6:$L$9,$M13,N$6:N$9)</f>
        <v>14</v>
      </c>
      <c r="O13" s="26">
        <f t="shared" ca="1" si="10"/>
        <v>21966.561003933653</v>
      </c>
      <c r="P13" s="26">
        <f t="shared" ca="1" si="10"/>
        <v>22170.134418541951</v>
      </c>
      <c r="Q13" s="26">
        <f t="shared" ca="1" si="10"/>
        <v>22305.501801494091</v>
      </c>
    </row>
    <row r="14" spans="3:17" x14ac:dyDescent="0.25">
      <c r="C14" s="15" t="s">
        <v>9</v>
      </c>
      <c r="D14" s="63" t="s">
        <v>23</v>
      </c>
      <c r="E14" s="37">
        <f t="shared" ca="1" si="4"/>
        <v>1</v>
      </c>
      <c r="F14" s="26">
        <f t="shared" ca="1" si="5"/>
        <v>1322.7068924999999</v>
      </c>
      <c r="G14" s="37">
        <f t="shared" ca="1" si="6"/>
        <v>1</v>
      </c>
      <c r="H14" s="26">
        <f t="shared" ca="1" si="7"/>
        <v>1322.7068924999999</v>
      </c>
      <c r="I14" s="37">
        <f t="shared" ca="1" si="8"/>
        <v>1</v>
      </c>
      <c r="J14" s="26">
        <f t="shared" ca="1" si="9"/>
        <v>1322.7068924999999</v>
      </c>
      <c r="M14" s="63" t="s">
        <v>84</v>
      </c>
      <c r="N14" s="27">
        <f t="shared" si="10"/>
        <v>4</v>
      </c>
      <c r="O14" s="26">
        <f t="shared" ca="1" si="10"/>
        <v>5225.8795484749999</v>
      </c>
      <c r="P14" s="26">
        <f t="shared" ca="1" si="10"/>
        <v>5239.5244558428567</v>
      </c>
      <c r="Q14" s="26">
        <f t="shared" ca="1" si="10"/>
        <v>5253.1693632107144</v>
      </c>
    </row>
    <row r="15" spans="3:17" x14ac:dyDescent="0.25">
      <c r="C15" s="15" t="s">
        <v>10</v>
      </c>
      <c r="D15" s="63" t="s">
        <v>21</v>
      </c>
      <c r="E15" s="37">
        <f t="shared" ca="1" si="4"/>
        <v>0.95282051282051272</v>
      </c>
      <c r="F15" s="26">
        <f t="shared" ca="1" si="5"/>
        <v>1589.3466919384616</v>
      </c>
      <c r="G15" s="37">
        <f t="shared" ca="1" si="6"/>
        <v>0.97910256410256413</v>
      </c>
      <c r="H15" s="26">
        <f t="shared" ca="1" si="7"/>
        <v>1633.1863140923078</v>
      </c>
      <c r="I15" s="37">
        <f t="shared" ca="1" si="8"/>
        <v>1</v>
      </c>
      <c r="J15" s="26">
        <f t="shared" ca="1" si="9"/>
        <v>1668.0441600000001</v>
      </c>
    </row>
    <row r="16" spans="3:17" ht="15.75" x14ac:dyDescent="0.25">
      <c r="C16" s="15" t="s">
        <v>11</v>
      </c>
      <c r="D16" s="63" t="s">
        <v>24</v>
      </c>
      <c r="E16" s="37">
        <f t="shared" ca="1" si="4"/>
        <v>0.87444444444444436</v>
      </c>
      <c r="F16" s="26">
        <f t="shared" ca="1" si="5"/>
        <v>951.51638847499976</v>
      </c>
      <c r="G16" s="37">
        <f t="shared" ca="1" si="6"/>
        <v>0.88698412698412687</v>
      </c>
      <c r="H16" s="26">
        <f t="shared" ca="1" si="7"/>
        <v>965.16129584285693</v>
      </c>
      <c r="I16" s="37">
        <f t="shared" ca="1" si="8"/>
        <v>0.89952380952380939</v>
      </c>
      <c r="J16" s="26">
        <f t="shared" ca="1" si="9"/>
        <v>978.80620321071399</v>
      </c>
      <c r="M16" s="64"/>
      <c r="N16" s="65" t="s">
        <v>87</v>
      </c>
      <c r="O16" s="26">
        <f>INDEX(Well_Prod!$K$5:$K$7,MATCH(Well_Proj!O$12,Well_Prod!$H$5:$H$7,0),1)</f>
        <v>10043.229144539368</v>
      </c>
      <c r="P16" s="26">
        <f>INDEX(Well_Prod!$K$5:$K$7,MATCH(Well_Proj!P$12,Well_Prod!$H$5:$H$7,0),1)</f>
        <v>9470.2582887662356</v>
      </c>
      <c r="Q16" s="26">
        <f>INDEX(Well_Prod!$K$5:$K$7,MATCH(Well_Proj!Q$12,Well_Prod!$H$5:$H$7,0),1)</f>
        <v>9303.4060623954338</v>
      </c>
    </row>
    <row r="17" spans="3:17" x14ac:dyDescent="0.25">
      <c r="C17" s="15" t="s">
        <v>12</v>
      </c>
      <c r="D17" s="63" t="s">
        <v>24</v>
      </c>
      <c r="E17" s="37">
        <f t="shared" ca="1" si="4"/>
        <v>1</v>
      </c>
      <c r="F17" s="26">
        <f t="shared" ca="1" si="5"/>
        <v>1511.6650199999999</v>
      </c>
      <c r="G17" s="37">
        <f t="shared" ca="1" si="6"/>
        <v>1</v>
      </c>
      <c r="H17" s="26">
        <f t="shared" ca="1" si="7"/>
        <v>1511.6650199999999</v>
      </c>
      <c r="I17" s="37">
        <f t="shared" ca="1" si="8"/>
        <v>1</v>
      </c>
      <c r="J17" s="26">
        <f t="shared" ca="1" si="9"/>
        <v>1511.6650199999999</v>
      </c>
    </row>
    <row r="18" spans="3:17" x14ac:dyDescent="0.25">
      <c r="C18" s="15" t="s">
        <v>13</v>
      </c>
      <c r="D18" s="63" t="s">
        <v>24</v>
      </c>
      <c r="E18" s="37">
        <f t="shared" ca="1" si="4"/>
        <v>1</v>
      </c>
      <c r="F18" s="26">
        <f t="shared" ca="1" si="5"/>
        <v>1309.6752974999999</v>
      </c>
      <c r="G18" s="37">
        <f t="shared" ca="1" si="6"/>
        <v>1</v>
      </c>
      <c r="H18" s="26">
        <f t="shared" ca="1" si="7"/>
        <v>1309.6752974999999</v>
      </c>
      <c r="I18" s="37">
        <f t="shared" ca="1" si="8"/>
        <v>1</v>
      </c>
      <c r="J18" s="26">
        <f t="shared" ca="1" si="9"/>
        <v>1309.6752974999999</v>
      </c>
      <c r="M18" s="6" t="s">
        <v>86</v>
      </c>
      <c r="N18" s="7"/>
      <c r="O18" s="7"/>
      <c r="P18" s="7"/>
      <c r="Q18" s="7"/>
    </row>
    <row r="19" spans="3:17" x14ac:dyDescent="0.25">
      <c r="C19" s="15" t="s">
        <v>14</v>
      </c>
      <c r="D19" s="63" t="s">
        <v>24</v>
      </c>
      <c r="E19" s="37">
        <f t="shared" ca="1" si="4"/>
        <v>1</v>
      </c>
      <c r="F19" s="26">
        <f t="shared" ca="1" si="5"/>
        <v>1453.0228425000003</v>
      </c>
      <c r="G19" s="37">
        <f t="shared" ca="1" si="6"/>
        <v>1</v>
      </c>
      <c r="H19" s="26">
        <f t="shared" ca="1" si="7"/>
        <v>1453.0228425000003</v>
      </c>
      <c r="I19" s="37">
        <f t="shared" ca="1" si="8"/>
        <v>1</v>
      </c>
      <c r="J19" s="26">
        <f t="shared" ca="1" si="9"/>
        <v>1453.0228425000003</v>
      </c>
      <c r="M19" s="34" t="s">
        <v>89</v>
      </c>
      <c r="N19" s="34"/>
      <c r="O19" s="44">
        <v>2017</v>
      </c>
      <c r="P19" s="43">
        <v>2018</v>
      </c>
      <c r="Q19" s="45">
        <v>2019</v>
      </c>
    </row>
    <row r="20" spans="3:17" ht="15.75" x14ac:dyDescent="0.25">
      <c r="C20" s="15" t="s">
        <v>15</v>
      </c>
      <c r="D20" s="63" t="s">
        <v>21</v>
      </c>
      <c r="E20" s="37">
        <f t="shared" ca="1" si="4"/>
        <v>0.92945736434108517</v>
      </c>
      <c r="F20" s="26">
        <f t="shared" ca="1" si="5"/>
        <v>775.18796427906977</v>
      </c>
      <c r="G20" s="37">
        <f t="shared" ca="1" si="6"/>
        <v>0.93507751937984496</v>
      </c>
      <c r="H20" s="26">
        <f t="shared" ca="1" si="7"/>
        <v>779.87529767441868</v>
      </c>
      <c r="I20" s="37">
        <f t="shared" ca="1" si="8"/>
        <v>0.94069767441860463</v>
      </c>
      <c r="J20" s="26">
        <f t="shared" ca="1" si="9"/>
        <v>784.56263106976746</v>
      </c>
      <c r="M20" s="12" t="s">
        <v>126</v>
      </c>
      <c r="N20" s="12"/>
      <c r="O20" s="27">
        <f ca="1">MIN(O13,O16)</f>
        <v>10043.229144539368</v>
      </c>
      <c r="P20" s="27">
        <f ca="1">MIN(P13,P16)</f>
        <v>9470.2582887662356</v>
      </c>
      <c r="Q20" s="27">
        <f ca="1">MIN(Q13,Q16)</f>
        <v>9303.4060623954338</v>
      </c>
    </row>
    <row r="21" spans="3:17" x14ac:dyDescent="0.25">
      <c r="C21" s="15" t="s">
        <v>16</v>
      </c>
      <c r="D21" s="63" t="s">
        <v>21</v>
      </c>
      <c r="E21" s="37">
        <f t="shared" ca="1" si="4"/>
        <v>0.97733333333333328</v>
      </c>
      <c r="F21" s="26">
        <f t="shared" ca="1" si="5"/>
        <v>2553.6105420899999</v>
      </c>
      <c r="G21" s="37">
        <f t="shared" ca="1" si="6"/>
        <v>1</v>
      </c>
      <c r="H21" s="26">
        <f t="shared" ca="1" si="7"/>
        <v>2612.8347975000001</v>
      </c>
      <c r="I21" s="37">
        <f t="shared" ca="1" si="8"/>
        <v>1</v>
      </c>
      <c r="J21" s="26">
        <f t="shared" ca="1" si="9"/>
        <v>2612.8347975000001</v>
      </c>
      <c r="M21" s="12" t="s">
        <v>88</v>
      </c>
      <c r="N21" s="12"/>
      <c r="O21" s="27">
        <f ca="1">O14</f>
        <v>5225.8795484749999</v>
      </c>
      <c r="P21" s="27">
        <f ca="1">P14</f>
        <v>5239.5244558428567</v>
      </c>
      <c r="Q21" s="27">
        <f ca="1">Q14</f>
        <v>5253.1693632107144</v>
      </c>
    </row>
    <row r="22" spans="3:17" x14ac:dyDescent="0.25">
      <c r="C22" s="15" t="s">
        <v>17</v>
      </c>
      <c r="D22" s="63" t="s">
        <v>21</v>
      </c>
      <c r="E22" s="37">
        <f t="shared" ca="1" si="4"/>
        <v>0.8632352941176471</v>
      </c>
      <c r="F22" s="26">
        <f t="shared" ca="1" si="5"/>
        <v>2131.7485547316178</v>
      </c>
      <c r="G22" s="37">
        <f t="shared" ca="1" si="6"/>
        <v>0.89117647058823535</v>
      </c>
      <c r="H22" s="26">
        <f t="shared" ca="1" si="7"/>
        <v>2200.7489338455885</v>
      </c>
      <c r="I22" s="37">
        <f t="shared" ca="1" si="8"/>
        <v>0.91911764705882348</v>
      </c>
      <c r="J22" s="26">
        <f t="shared" ca="1" si="9"/>
        <v>2269.7493129595587</v>
      </c>
    </row>
    <row r="23" spans="3:17" x14ac:dyDescent="0.25">
      <c r="C23" s="15" t="s">
        <v>18</v>
      </c>
      <c r="D23" s="63" t="s">
        <v>21</v>
      </c>
      <c r="E23" s="37">
        <f t="shared" ca="1" si="4"/>
        <v>0.93851851851851853</v>
      </c>
      <c r="F23" s="26">
        <f t="shared" ca="1" si="5"/>
        <v>1498.2231710833335</v>
      </c>
      <c r="G23" s="37">
        <f t="shared" ca="1" si="6"/>
        <v>0.94731481481481494</v>
      </c>
      <c r="H23" s="26">
        <f t="shared" ca="1" si="7"/>
        <v>1512.2653180104169</v>
      </c>
      <c r="I23" s="37">
        <f t="shared" ca="1" si="8"/>
        <v>0.95611111111111124</v>
      </c>
      <c r="J23" s="26">
        <f t="shared" ca="1" si="9"/>
        <v>1526.3074649375003</v>
      </c>
      <c r="N23" s="48" t="s">
        <v>82</v>
      </c>
      <c r="O23" s="49">
        <f ca="1">SUM(O20:O21)</f>
        <v>15269.108693014368</v>
      </c>
      <c r="P23" s="49">
        <f ca="1">SUM(P20:P21)</f>
        <v>14709.782744609092</v>
      </c>
      <c r="Q23" s="49">
        <f ca="1">SUM(Q20:Q21)</f>
        <v>14556.575425606148</v>
      </c>
    </row>
    <row r="24" spans="3:17" x14ac:dyDescent="0.25">
      <c r="C24" s="2"/>
      <c r="D24" s="1"/>
      <c r="E24" s="40"/>
      <c r="F24" s="31"/>
      <c r="G24" s="40"/>
      <c r="H24" s="31"/>
      <c r="I24" s="40"/>
      <c r="J24" s="31"/>
    </row>
    <row r="25" spans="3:17" x14ac:dyDescent="0.25">
      <c r="C25" s="2"/>
      <c r="D25" s="1"/>
      <c r="E25" s="40"/>
      <c r="F25" s="31">
        <f ca="1">SUM(F6:F23)</f>
        <v>27192.440552408651</v>
      </c>
      <c r="G25" s="40"/>
      <c r="H25" s="31">
        <f ca="1">SUM(H6:H23)</f>
        <v>27409.658874384808</v>
      </c>
      <c r="I25" s="40"/>
      <c r="J25" s="31">
        <f ca="1">SUM(J6:J23)</f>
        <v>27558.671164704803</v>
      </c>
    </row>
    <row r="27" spans="3:17" x14ac:dyDescent="0.25">
      <c r="C27" s="42" t="s">
        <v>44</v>
      </c>
      <c r="D27" s="32"/>
      <c r="E27" s="32"/>
      <c r="F27" s="32"/>
      <c r="G27" s="32"/>
      <c r="H27" s="32"/>
      <c r="I27" s="32"/>
      <c r="J27" s="32"/>
      <c r="K27" s="32"/>
      <c r="L27" s="32"/>
      <c r="M27" s="32"/>
      <c r="N27" s="32"/>
      <c r="O27" s="32"/>
      <c r="P27" s="32"/>
      <c r="Q27" s="32"/>
    </row>
    <row r="28" spans="3:17" s="41" customFormat="1" ht="38.25" customHeight="1" x14ac:dyDescent="0.25">
      <c r="C28" s="74" t="s">
        <v>118</v>
      </c>
      <c r="D28" s="74"/>
      <c r="E28" s="74"/>
      <c r="F28" s="74"/>
      <c r="G28" s="74"/>
      <c r="H28" s="74"/>
      <c r="I28" s="74"/>
      <c r="J28" s="74"/>
      <c r="K28" s="74"/>
      <c r="L28" s="74"/>
      <c r="M28" s="74"/>
      <c r="N28" s="74"/>
      <c r="O28" s="74"/>
      <c r="P28" s="74"/>
      <c r="Q28" s="74"/>
    </row>
    <row r="29" spans="3:17" ht="63.75" customHeight="1" x14ac:dyDescent="0.25">
      <c r="C29" s="75" t="s">
        <v>77</v>
      </c>
      <c r="D29" s="75"/>
      <c r="E29" s="75"/>
      <c r="F29" s="75"/>
      <c r="G29" s="75"/>
      <c r="H29" s="75"/>
      <c r="I29" s="75"/>
      <c r="J29" s="75"/>
      <c r="K29" s="75"/>
      <c r="L29" s="75"/>
      <c r="M29" s="75"/>
      <c r="N29" s="75"/>
      <c r="O29" s="75"/>
      <c r="P29" s="75"/>
      <c r="Q29" s="75"/>
    </row>
    <row r="30" spans="3:17" ht="38.25" customHeight="1" x14ac:dyDescent="0.25">
      <c r="C30" s="75" t="s">
        <v>128</v>
      </c>
      <c r="D30" s="75"/>
      <c r="E30" s="75"/>
      <c r="F30" s="75"/>
      <c r="G30" s="75"/>
      <c r="H30" s="75"/>
      <c r="I30" s="75"/>
      <c r="J30" s="75"/>
      <c r="K30" s="75"/>
      <c r="L30" s="75"/>
      <c r="M30" s="75"/>
      <c r="N30" s="75"/>
      <c r="O30" s="75"/>
      <c r="P30" s="75"/>
      <c r="Q30" s="75"/>
    </row>
    <row r="31" spans="3:17" x14ac:dyDescent="0.25">
      <c r="C31" s="70" t="s">
        <v>127</v>
      </c>
      <c r="D31" s="70"/>
      <c r="E31" s="70"/>
      <c r="F31" s="70"/>
      <c r="G31" s="70"/>
      <c r="H31" s="70"/>
      <c r="I31" s="70"/>
      <c r="J31" s="70"/>
      <c r="K31" s="70"/>
      <c r="L31" s="70"/>
      <c r="M31" s="70"/>
      <c r="N31" s="70"/>
      <c r="O31" s="70"/>
      <c r="P31" s="70"/>
      <c r="Q31" s="70"/>
    </row>
  </sheetData>
  <mergeCells count="4">
    <mergeCell ref="C28:Q28"/>
    <mergeCell ref="C29:Q29"/>
    <mergeCell ref="C30:Q30"/>
    <mergeCell ref="C31:Q31"/>
  </mergeCells>
  <pageMargins left="0.7" right="0.7" top="0.75" bottom="0.75" header="0.3" footer="0.3"/>
  <pageSetup scale="67" orientation="landscape" r:id="rId1"/>
  <ignoredErrors>
    <ignoredError sqref="G7:G9 I7:I9 G11:G23 I11:I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20"/>
    <pageSetUpPr fitToPage="1"/>
  </sheetPr>
  <dimension ref="C1:Y31"/>
  <sheetViews>
    <sheetView topLeftCell="B1" workbookViewId="0">
      <selection activeCell="C1" sqref="C1"/>
    </sheetView>
  </sheetViews>
  <sheetFormatPr defaultRowHeight="15" x14ac:dyDescent="0.25"/>
  <cols>
    <col min="1" max="2" width="2.7109375" customWidth="1"/>
    <col min="3" max="3" width="26" bestFit="1" customWidth="1"/>
    <col min="4" max="4" width="13.140625" bestFit="1" customWidth="1"/>
    <col min="5" max="5" width="10.7109375" customWidth="1"/>
    <col min="6" max="6" width="13.28515625" customWidth="1"/>
    <col min="7" max="8" width="10.7109375" customWidth="1"/>
    <col min="9" max="9" width="13.28515625" customWidth="1"/>
    <col min="10" max="15" width="10.7109375" customWidth="1"/>
    <col min="16" max="16" width="13.28515625" customWidth="1"/>
    <col min="17" max="17" width="10.7109375" customWidth="1"/>
    <col min="18" max="18" width="2.7109375" customWidth="1"/>
    <col min="20" max="25" width="10.7109375" customWidth="1"/>
  </cols>
  <sheetData>
    <row r="1" spans="3:25" x14ac:dyDescent="0.25">
      <c r="C1" s="36"/>
      <c r="M1" s="23" t="s">
        <v>42</v>
      </c>
      <c r="N1" s="22">
        <v>0.5</v>
      </c>
    </row>
    <row r="2" spans="3:25" x14ac:dyDescent="0.25">
      <c r="C2" s="36"/>
      <c r="M2" s="23"/>
    </row>
    <row r="3" spans="3:25" x14ac:dyDescent="0.25">
      <c r="C3" s="36" t="s">
        <v>125</v>
      </c>
      <c r="M3" s="23"/>
    </row>
    <row r="5" spans="3:25" ht="15.75" x14ac:dyDescent="0.25">
      <c r="C5" s="8" t="s">
        <v>38</v>
      </c>
      <c r="D5" s="8"/>
      <c r="E5" s="9"/>
      <c r="F5" s="9"/>
      <c r="G5" s="9"/>
      <c r="H5" s="9"/>
      <c r="I5" s="9"/>
      <c r="J5" s="9"/>
      <c r="K5" s="9"/>
      <c r="L5" s="9"/>
      <c r="M5" s="9"/>
      <c r="N5" s="9"/>
      <c r="O5" s="9"/>
      <c r="P5" s="9"/>
      <c r="Q5" s="9"/>
      <c r="S5" s="8" t="s">
        <v>65</v>
      </c>
      <c r="T5" s="8"/>
      <c r="U5" s="9"/>
      <c r="V5" s="9"/>
      <c r="W5" s="9"/>
      <c r="X5" s="9"/>
      <c r="Y5" s="9"/>
    </row>
    <row r="6" spans="3:25" ht="15.75" x14ac:dyDescent="0.25">
      <c r="C6" s="33" t="s">
        <v>56</v>
      </c>
      <c r="D6" s="34"/>
      <c r="E6" s="10" t="s">
        <v>28</v>
      </c>
      <c r="F6" s="10"/>
      <c r="G6" s="10"/>
      <c r="H6" s="19" t="s">
        <v>29</v>
      </c>
      <c r="I6" s="19"/>
      <c r="J6" s="19"/>
      <c r="K6" s="19"/>
      <c r="L6" s="19"/>
      <c r="M6" s="24" t="s">
        <v>43</v>
      </c>
      <c r="N6" s="24"/>
      <c r="O6" s="20" t="s">
        <v>35</v>
      </c>
      <c r="P6" s="21"/>
      <c r="Q6" s="21"/>
      <c r="S6" s="34" t="s">
        <v>58</v>
      </c>
      <c r="T6" s="10" t="s">
        <v>62</v>
      </c>
      <c r="U6" s="10"/>
      <c r="V6" s="19" t="s">
        <v>59</v>
      </c>
      <c r="W6" s="19"/>
      <c r="X6" s="24" t="s">
        <v>60</v>
      </c>
      <c r="Y6" s="24"/>
    </row>
    <row r="7" spans="3:25" x14ac:dyDescent="0.25">
      <c r="C7" s="11" t="s">
        <v>55</v>
      </c>
      <c r="D7" s="11" t="s">
        <v>19</v>
      </c>
      <c r="E7" s="11" t="s">
        <v>31</v>
      </c>
      <c r="F7" s="11" t="s">
        <v>30</v>
      </c>
      <c r="G7" s="11" t="s">
        <v>32</v>
      </c>
      <c r="H7" s="11" t="s">
        <v>31</v>
      </c>
      <c r="I7" s="11" t="s">
        <v>30</v>
      </c>
      <c r="J7" s="11" t="s">
        <v>32</v>
      </c>
      <c r="K7" s="25" t="s">
        <v>51</v>
      </c>
      <c r="L7" s="25" t="s">
        <v>57</v>
      </c>
      <c r="M7" s="11" t="s">
        <v>40</v>
      </c>
      <c r="N7" s="25" t="s">
        <v>41</v>
      </c>
      <c r="O7" s="11" t="s">
        <v>31</v>
      </c>
      <c r="P7" s="11" t="s">
        <v>30</v>
      </c>
      <c r="Q7" s="11" t="s">
        <v>32</v>
      </c>
      <c r="S7" s="35" t="s">
        <v>52</v>
      </c>
      <c r="T7" s="35" t="s">
        <v>54</v>
      </c>
      <c r="U7" s="35" t="s">
        <v>53</v>
      </c>
      <c r="V7" s="35" t="s">
        <v>54</v>
      </c>
      <c r="W7" s="35" t="s">
        <v>53</v>
      </c>
      <c r="X7" s="35" t="s">
        <v>54</v>
      </c>
      <c r="Y7" s="35" t="s">
        <v>53</v>
      </c>
    </row>
    <row r="8" spans="3:25" x14ac:dyDescent="0.25">
      <c r="C8" s="15" t="s">
        <v>1</v>
      </c>
      <c r="D8" s="15" t="str">
        <f t="shared" ref="D8:D25" ca="1" si="0">INDEX(WellInfo_GMZ,MATCH($C8,WellInfo_Names,0),1)</f>
        <v>Upper Pressure</v>
      </c>
      <c r="E8" s="16"/>
      <c r="F8" s="5"/>
      <c r="G8" s="17"/>
      <c r="H8" s="17" t="s">
        <v>37</v>
      </c>
      <c r="I8" s="18"/>
      <c r="J8" s="17"/>
      <c r="K8" s="17"/>
      <c r="L8" s="17"/>
      <c r="M8" s="17"/>
      <c r="N8" s="17"/>
      <c r="O8" s="13">
        <v>42485</v>
      </c>
      <c r="P8" s="4">
        <v>514.1</v>
      </c>
      <c r="Q8" s="12" t="s">
        <v>33</v>
      </c>
      <c r="S8" s="26" t="e">
        <f>NA()</f>
        <v>#N/A</v>
      </c>
      <c r="T8" s="17" t="s">
        <v>37</v>
      </c>
      <c r="U8" s="17"/>
      <c r="V8" s="17"/>
      <c r="W8" s="17"/>
      <c r="X8" s="17"/>
      <c r="Y8" s="17"/>
    </row>
    <row r="9" spans="3:25" x14ac:dyDescent="0.25">
      <c r="C9" s="15" t="s">
        <v>2</v>
      </c>
      <c r="D9" s="15" t="str">
        <f t="shared" ca="1" si="0"/>
        <v>Canyon</v>
      </c>
      <c r="E9" s="16"/>
      <c r="F9" s="5"/>
      <c r="G9" s="17"/>
      <c r="H9" s="13">
        <v>42472</v>
      </c>
      <c r="I9" s="4">
        <v>208</v>
      </c>
      <c r="J9" s="14" t="s">
        <v>33</v>
      </c>
      <c r="K9" s="4" t="e">
        <f>NA()</f>
        <v>#N/A</v>
      </c>
      <c r="L9" s="4" t="str">
        <f>IFERROR(K9/3,"")</f>
        <v/>
      </c>
      <c r="M9" s="27">
        <f ca="1">INDEX(WellInfo_TopPerf,MATCH($C9,WellInfo_Names,0),1)+($N$1*INDEX(WellInfo_ScreenLength,MATCH($C9,WellInfo_Names,0),1))</f>
        <v>589</v>
      </c>
      <c r="N9" s="26">
        <f ca="1">M9-I9</f>
        <v>381</v>
      </c>
      <c r="O9" s="13">
        <v>41899</v>
      </c>
      <c r="P9" s="4">
        <v>248.2</v>
      </c>
      <c r="Q9" s="14" t="s">
        <v>33</v>
      </c>
      <c r="S9" s="26">
        <f ca="1">IF(ISNUMBER(L9),L9,AVERAGEIF($D$8:$D$25,$D9,$L$9:$L$25))</f>
        <v>-1.3333333333333333</v>
      </c>
      <c r="T9" s="4">
        <f ca="1">I9-$S9</f>
        <v>209.33333333333334</v>
      </c>
      <c r="U9" s="37">
        <f ca="1">IF(T9&lt;INDEX(WellInfo_TopPerf,MATCH($C9,WellInfo_Names,0),1),1,((INDEX(WellInfo_BotPerf,MATCH($C9,WellInfo_Names,0),1))-T9)/INDEX(WellInfo_ScreenLength,MATCH($C9,WellInfo_Names,0)))</f>
        <v>0.85616010006253906</v>
      </c>
      <c r="V9" s="4">
        <f ca="1">T9-$S9</f>
        <v>210.66666666666669</v>
      </c>
      <c r="W9" s="37">
        <f ca="1">IF(V9&lt;INDEX(WellInfo_TopPerf,MATCH($C9,WellInfo_Names,0),1),1,((INDEX(WellInfo_BotPerf,MATCH($C9,WellInfo_Names,0),1))-V9)/INDEX(WellInfo_ScreenLength,MATCH($C9,WellInfo_Names,0)))</f>
        <v>0.85490931832395245</v>
      </c>
      <c r="X9" s="4">
        <f ca="1">V9-$S9</f>
        <v>212.00000000000003</v>
      </c>
      <c r="Y9" s="37">
        <f ca="1">IF(X9&lt;INDEX(WellInfo_TopPerf,MATCH($C9,WellInfo_Names,0),1),1,((INDEX(WellInfo_BotPerf,MATCH($C9,WellInfo_Names,0),1))-X9)/INDEX(WellInfo_ScreenLength,MATCH($C9,WellInfo_Names,0)))</f>
        <v>0.85365853658536583</v>
      </c>
    </row>
    <row r="10" spans="3:25" x14ac:dyDescent="0.25">
      <c r="C10" s="15" t="s">
        <v>3</v>
      </c>
      <c r="D10" s="15" t="str">
        <f t="shared" ca="1" si="0"/>
        <v>Upper Pressure</v>
      </c>
      <c r="E10" s="13">
        <v>41415</v>
      </c>
      <c r="F10" s="4">
        <v>455</v>
      </c>
      <c r="G10" s="12" t="s">
        <v>33</v>
      </c>
      <c r="H10" s="17" t="s">
        <v>36</v>
      </c>
      <c r="I10" s="18"/>
      <c r="J10" s="17"/>
      <c r="K10" s="17"/>
      <c r="L10" s="17"/>
      <c r="M10" s="17"/>
      <c r="N10" s="17"/>
      <c r="O10" s="13"/>
      <c r="P10" s="4"/>
      <c r="Q10" s="12"/>
      <c r="S10" s="26">
        <f t="shared" ref="S10:S25" ca="1" si="1">IF(ISNUMBER(L10),L10,AVERAGEIF($D$8:$D$25,$D10,$L$9:$L$25))</f>
        <v>13.652380952380954</v>
      </c>
      <c r="T10" s="4">
        <f ca="1">F10-(S10*4)</f>
        <v>400.39047619047619</v>
      </c>
      <c r="U10" s="37">
        <f ca="1">IF(T10&lt;INDEX(WellInfo_TopPerf,MATCH($C10,WellInfo_Names,0),1),1,((INDEX(WellInfo_BotPerf,MATCH($C10,WellInfo_Names,0),1))-T10)/INDEX(WellInfo_ScreenLength,MATCH($C10,WellInfo_Names,0)))</f>
        <v>1</v>
      </c>
      <c r="V10" s="4">
        <f t="shared" ref="V10:V11" ca="1" si="2">T10-$S10</f>
        <v>386.73809523809524</v>
      </c>
      <c r="W10" s="37">
        <f ca="1">IF(V10&lt;INDEX(WellInfo_TopPerf,MATCH($C10,WellInfo_Names,0),1),1,((INDEX(WellInfo_BotPerf,MATCH($C10,WellInfo_Names,0),1))-V10)/INDEX(WellInfo_ScreenLength,MATCH($C10,WellInfo_Names,0)))</f>
        <v>1</v>
      </c>
      <c r="X10" s="4">
        <f t="shared" ref="X10:X11" ca="1" si="3">V10-$S10</f>
        <v>373.08571428571429</v>
      </c>
      <c r="Y10" s="37">
        <f ca="1">IF(X10&lt;INDEX(WellInfo_TopPerf,MATCH($C10,WellInfo_Names,0),1),1,((INDEX(WellInfo_BotPerf,MATCH($C10,WellInfo_Names,0),1))-X10)/INDEX(WellInfo_ScreenLength,MATCH($C10,WellInfo_Names,0)))</f>
        <v>1</v>
      </c>
    </row>
    <row r="11" spans="3:25" x14ac:dyDescent="0.25">
      <c r="C11" s="15" t="s">
        <v>4</v>
      </c>
      <c r="D11" s="15" t="str">
        <f t="shared" ca="1" si="0"/>
        <v>Canyon</v>
      </c>
      <c r="E11" s="13">
        <v>41299</v>
      </c>
      <c r="F11" s="4">
        <v>134.19999999999999</v>
      </c>
      <c r="G11" s="14" t="s">
        <v>33</v>
      </c>
      <c r="H11" s="13">
        <v>42472</v>
      </c>
      <c r="I11" s="4">
        <v>206.8</v>
      </c>
      <c r="J11" s="14" t="s">
        <v>33</v>
      </c>
      <c r="K11" s="4">
        <f>I11-F11</f>
        <v>72.600000000000023</v>
      </c>
      <c r="L11" s="4">
        <f t="shared" ref="L11:L19" si="4">IFERROR(K11/3,"")</f>
        <v>24.200000000000006</v>
      </c>
      <c r="M11" s="27">
        <f t="shared" ref="M11:M19" ca="1" si="5">INDEX(WellInfo_TopPerf,MATCH($C11,WellInfo_Names,0),1)+($N$1*INDEX(WellInfo_ScreenLength,MATCH($C11,WellInfo_Names,0),1))</f>
        <v>905</v>
      </c>
      <c r="N11" s="26">
        <f t="shared" ref="N11:N19" ca="1" si="6">M11-I11</f>
        <v>698.2</v>
      </c>
      <c r="O11" s="13">
        <v>41452</v>
      </c>
      <c r="P11" s="4">
        <v>294.39999999999998</v>
      </c>
      <c r="Q11" s="14" t="s">
        <v>34</v>
      </c>
      <c r="S11" s="26">
        <f t="shared" si="1"/>
        <v>24.200000000000006</v>
      </c>
      <c r="T11" s="4">
        <f>I11-$S11</f>
        <v>182.6</v>
      </c>
      <c r="U11" s="37">
        <f ca="1">IF(T11&lt;INDEX(WellInfo_TopPerf,MATCH($C11,WellInfo_Names,0),1),1,((INDEX(WellInfo_BotPerf,MATCH($C11,WellInfo_Names,0),1))-T11)/INDEX(WellInfo_ScreenLength,MATCH($C11,WellInfo_Names,0)))</f>
        <v>1</v>
      </c>
      <c r="V11" s="4">
        <f t="shared" si="2"/>
        <v>158.39999999999998</v>
      </c>
      <c r="W11" s="37">
        <f ca="1">IF(V11&lt;INDEX(WellInfo_TopPerf,MATCH($C11,WellInfo_Names,0),1),1,((INDEX(WellInfo_BotPerf,MATCH($C11,WellInfo_Names,0),1))-V11)/INDEX(WellInfo_ScreenLength,MATCH($C11,WellInfo_Names,0)))</f>
        <v>1</v>
      </c>
      <c r="X11" s="4">
        <f t="shared" si="3"/>
        <v>134.19999999999996</v>
      </c>
      <c r="Y11" s="37">
        <f ca="1">IF(X11&lt;INDEX(WellInfo_TopPerf,MATCH($C11,WellInfo_Names,0),1),1,((INDEX(WellInfo_BotPerf,MATCH($C11,WellInfo_Names,0),1))-X11)/INDEX(WellInfo_ScreenLength,MATCH($C11,WellInfo_Names,0)))</f>
        <v>1</v>
      </c>
    </row>
    <row r="12" spans="3:25" x14ac:dyDescent="0.25">
      <c r="C12" s="15" t="s">
        <v>5</v>
      </c>
      <c r="D12" s="15" t="str">
        <f t="shared" ca="1" si="0"/>
        <v>Upper Pressure</v>
      </c>
      <c r="E12" s="16"/>
      <c r="F12" s="5"/>
      <c r="G12" s="17"/>
      <c r="H12" s="13">
        <v>42471</v>
      </c>
      <c r="I12" s="4">
        <v>369</v>
      </c>
      <c r="J12" s="14" t="s">
        <v>33</v>
      </c>
      <c r="K12" s="4" t="e">
        <f>NA()</f>
        <v>#N/A</v>
      </c>
      <c r="L12" s="4" t="str">
        <f t="shared" si="4"/>
        <v/>
      </c>
      <c r="M12" s="27">
        <f t="shared" ca="1" si="5"/>
        <v>1020</v>
      </c>
      <c r="N12" s="26">
        <f t="shared" ca="1" si="6"/>
        <v>651</v>
      </c>
      <c r="O12" s="13">
        <v>41899</v>
      </c>
      <c r="P12" s="4">
        <v>367.2</v>
      </c>
      <c r="Q12" s="14" t="s">
        <v>33</v>
      </c>
      <c r="S12" s="26">
        <f t="shared" ca="1" si="1"/>
        <v>13.652380952380954</v>
      </c>
      <c r="T12" s="17" t="s">
        <v>37</v>
      </c>
      <c r="U12" s="17"/>
      <c r="V12" s="17"/>
      <c r="W12" s="17"/>
      <c r="X12" s="17"/>
      <c r="Y12" s="17"/>
    </row>
    <row r="13" spans="3:25" x14ac:dyDescent="0.25">
      <c r="C13" s="15" t="s">
        <v>6</v>
      </c>
      <c r="D13" s="15" t="str">
        <f t="shared" ca="1" si="0"/>
        <v>Upper Pressure</v>
      </c>
      <c r="E13" s="16"/>
      <c r="F13" s="5"/>
      <c r="G13" s="17"/>
      <c r="H13" s="13">
        <v>42479</v>
      </c>
      <c r="I13" s="4">
        <v>390.4</v>
      </c>
      <c r="J13" s="14" t="s">
        <v>33</v>
      </c>
      <c r="K13" s="4" t="e">
        <f>NA()</f>
        <v>#N/A</v>
      </c>
      <c r="L13" s="4" t="str">
        <f t="shared" si="4"/>
        <v/>
      </c>
      <c r="M13" s="27">
        <f t="shared" ca="1" si="5"/>
        <v>1000</v>
      </c>
      <c r="N13" s="26">
        <f t="shared" ca="1" si="6"/>
        <v>609.6</v>
      </c>
      <c r="O13" s="13">
        <v>41455</v>
      </c>
      <c r="P13" s="4">
        <v>423</v>
      </c>
      <c r="Q13" s="14" t="s">
        <v>34</v>
      </c>
      <c r="S13" s="26">
        <f t="shared" ca="1" si="1"/>
        <v>13.652380952380954</v>
      </c>
      <c r="T13" s="4">
        <f t="shared" ref="T13:T25" ca="1" si="7">I13-$S13</f>
        <v>376.74761904761903</v>
      </c>
      <c r="U13" s="37">
        <f t="shared" ref="U13:U25" ca="1" si="8">IF(T13&lt;INDEX(WellInfo_TopPerf,MATCH($C13,WellInfo_Names,0),1),1,((INDEX(WellInfo_BotPerf,MATCH($C13,WellInfo_Names,0),1))-T13)/INDEX(WellInfo_ScreenLength,MATCH($C13,WellInfo_Names,0)))</f>
        <v>1</v>
      </c>
      <c r="V13" s="4">
        <f t="shared" ref="V13:V25" ca="1" si="9">T13-$S13</f>
        <v>363.09523809523807</v>
      </c>
      <c r="W13" s="37">
        <f t="shared" ref="W13:W25" ca="1" si="10">IF(V13&lt;INDEX(WellInfo_TopPerf,MATCH($C13,WellInfo_Names,0),1),1,((INDEX(WellInfo_BotPerf,MATCH($C13,WellInfo_Names,0),1))-V13)/INDEX(WellInfo_ScreenLength,MATCH($C13,WellInfo_Names,0)))</f>
        <v>1</v>
      </c>
      <c r="X13" s="4">
        <f t="shared" ref="X13:X25" ca="1" si="11">V13-$S13</f>
        <v>349.44285714285712</v>
      </c>
      <c r="Y13" s="37">
        <f t="shared" ref="Y13:Y25" ca="1" si="12">IF(X13&lt;INDEX(WellInfo_TopPerf,MATCH($C13,WellInfo_Names,0),1),1,((INDEX(WellInfo_BotPerf,MATCH($C13,WellInfo_Names,0),1))-X13)/INDEX(WellInfo_ScreenLength,MATCH($C13,WellInfo_Names,0)))</f>
        <v>1</v>
      </c>
    </row>
    <row r="14" spans="3:25" x14ac:dyDescent="0.25">
      <c r="C14" s="15" t="s">
        <v>7</v>
      </c>
      <c r="D14" s="15" t="str">
        <f t="shared" ca="1" si="0"/>
        <v>Upper Pressure</v>
      </c>
      <c r="E14" s="13">
        <v>41451</v>
      </c>
      <c r="F14" s="4">
        <v>453</v>
      </c>
      <c r="G14" s="14" t="s">
        <v>33</v>
      </c>
      <c r="H14" s="13">
        <v>42403</v>
      </c>
      <c r="I14" s="4">
        <v>478</v>
      </c>
      <c r="J14" s="14" t="s">
        <v>33</v>
      </c>
      <c r="K14" s="4">
        <f t="shared" ref="K14:K19" si="13">I14-F14</f>
        <v>25</v>
      </c>
      <c r="L14" s="4">
        <f t="shared" si="4"/>
        <v>8.3333333333333339</v>
      </c>
      <c r="M14" s="27">
        <f t="shared" ca="1" si="5"/>
        <v>750</v>
      </c>
      <c r="N14" s="26">
        <f t="shared" ca="1" si="6"/>
        <v>272</v>
      </c>
      <c r="O14" s="13"/>
      <c r="P14" s="4"/>
      <c r="Q14" s="14"/>
      <c r="S14" s="26">
        <f t="shared" si="1"/>
        <v>8.3333333333333339</v>
      </c>
      <c r="T14" s="4">
        <f t="shared" si="7"/>
        <v>469.66666666666669</v>
      </c>
      <c r="U14" s="37">
        <f t="shared" ca="1" si="8"/>
        <v>0.90047619047619032</v>
      </c>
      <c r="V14" s="4">
        <f t="shared" si="9"/>
        <v>461.33333333333337</v>
      </c>
      <c r="W14" s="37">
        <f t="shared" ca="1" si="10"/>
        <v>0.91238095238095229</v>
      </c>
      <c r="X14" s="4">
        <f t="shared" si="11"/>
        <v>453.00000000000006</v>
      </c>
      <c r="Y14" s="37">
        <f t="shared" ca="1" si="12"/>
        <v>0.92428571428571427</v>
      </c>
    </row>
    <row r="15" spans="3:25" x14ac:dyDescent="0.25">
      <c r="C15" s="15" t="s">
        <v>8</v>
      </c>
      <c r="D15" s="15" t="str">
        <f t="shared" ca="1" si="0"/>
        <v>Canyon</v>
      </c>
      <c r="E15" s="13">
        <v>41331</v>
      </c>
      <c r="F15" s="4">
        <v>144</v>
      </c>
      <c r="G15" s="14" t="s">
        <v>33</v>
      </c>
      <c r="H15" s="13">
        <v>42472</v>
      </c>
      <c r="I15" s="4">
        <v>208</v>
      </c>
      <c r="J15" s="14" t="s">
        <v>33</v>
      </c>
      <c r="K15" s="4">
        <f t="shared" si="13"/>
        <v>64</v>
      </c>
      <c r="L15" s="4">
        <f t="shared" si="4"/>
        <v>21.333333333333332</v>
      </c>
      <c r="M15" s="27">
        <f t="shared" ca="1" si="5"/>
        <v>490</v>
      </c>
      <c r="N15" s="26">
        <f t="shared" ca="1" si="6"/>
        <v>282</v>
      </c>
      <c r="O15" s="13">
        <v>41451</v>
      </c>
      <c r="P15" s="4">
        <v>281.39999999999998</v>
      </c>
      <c r="Q15" s="14" t="s">
        <v>34</v>
      </c>
      <c r="S15" s="26">
        <f t="shared" si="1"/>
        <v>21.333333333333332</v>
      </c>
      <c r="T15" s="4">
        <f t="shared" si="7"/>
        <v>186.66666666666666</v>
      </c>
      <c r="U15" s="37">
        <f t="shared" ca="1" si="8"/>
        <v>1</v>
      </c>
      <c r="V15" s="4">
        <f t="shared" si="9"/>
        <v>165.33333333333331</v>
      </c>
      <c r="W15" s="37">
        <f t="shared" ca="1" si="10"/>
        <v>1</v>
      </c>
      <c r="X15" s="4">
        <f t="shared" si="11"/>
        <v>143.99999999999997</v>
      </c>
      <c r="Y15" s="37">
        <f t="shared" ca="1" si="12"/>
        <v>1</v>
      </c>
    </row>
    <row r="16" spans="3:25" x14ac:dyDescent="0.25">
      <c r="C16" s="15" t="s">
        <v>9</v>
      </c>
      <c r="D16" s="15" t="str">
        <f t="shared" ca="1" si="0"/>
        <v>Hemet South</v>
      </c>
      <c r="E16" s="13">
        <v>41451</v>
      </c>
      <c r="F16" s="4">
        <v>253</v>
      </c>
      <c r="G16" s="14" t="s">
        <v>33</v>
      </c>
      <c r="H16" s="13">
        <v>42480</v>
      </c>
      <c r="I16" s="4">
        <v>249</v>
      </c>
      <c r="J16" s="14" t="s">
        <v>33</v>
      </c>
      <c r="K16" s="4">
        <f t="shared" si="13"/>
        <v>-4</v>
      </c>
      <c r="L16" s="4">
        <f t="shared" si="4"/>
        <v>-1.3333333333333333</v>
      </c>
      <c r="M16" s="27">
        <f t="shared" ca="1" si="5"/>
        <v>390</v>
      </c>
      <c r="N16" s="26">
        <f t="shared" ca="1" si="6"/>
        <v>141</v>
      </c>
      <c r="O16" s="13"/>
      <c r="P16" s="4"/>
      <c r="Q16" s="14"/>
      <c r="S16" s="26">
        <f t="shared" si="1"/>
        <v>-1.3333333333333333</v>
      </c>
      <c r="T16" s="4">
        <f t="shared" si="7"/>
        <v>250.33333333333334</v>
      </c>
      <c r="U16" s="37">
        <f t="shared" ca="1" si="8"/>
        <v>1</v>
      </c>
      <c r="V16" s="4">
        <f t="shared" si="9"/>
        <v>251.66666666666669</v>
      </c>
      <c r="W16" s="37">
        <f t="shared" ca="1" si="10"/>
        <v>1</v>
      </c>
      <c r="X16" s="4">
        <f t="shared" si="11"/>
        <v>253.00000000000003</v>
      </c>
      <c r="Y16" s="37">
        <f t="shared" ca="1" si="12"/>
        <v>1</v>
      </c>
    </row>
    <row r="17" spans="3:25" x14ac:dyDescent="0.25">
      <c r="C17" s="15" t="s">
        <v>10</v>
      </c>
      <c r="D17" s="15" t="str">
        <f t="shared" ca="1" si="0"/>
        <v>Upper Pressure</v>
      </c>
      <c r="E17" s="13">
        <v>41360</v>
      </c>
      <c r="F17" s="4">
        <v>477.2</v>
      </c>
      <c r="G17" s="14" t="s">
        <v>33</v>
      </c>
      <c r="H17" s="13">
        <v>42475</v>
      </c>
      <c r="I17" s="4">
        <v>518.20000000000005</v>
      </c>
      <c r="J17" s="14" t="s">
        <v>33</v>
      </c>
      <c r="K17" s="4">
        <f t="shared" si="13"/>
        <v>41.000000000000057</v>
      </c>
      <c r="L17" s="4">
        <f t="shared" si="4"/>
        <v>13.666666666666686</v>
      </c>
      <c r="M17" s="27">
        <f t="shared" ca="1" si="5"/>
        <v>740</v>
      </c>
      <c r="N17" s="26">
        <f t="shared" ca="1" si="6"/>
        <v>221.79999999999995</v>
      </c>
      <c r="O17" s="13">
        <v>41452</v>
      </c>
      <c r="P17" s="4">
        <v>514.20000000000005</v>
      </c>
      <c r="Q17" s="14" t="s">
        <v>34</v>
      </c>
      <c r="S17" s="26">
        <f t="shared" si="1"/>
        <v>13.666666666666686</v>
      </c>
      <c r="T17" s="4">
        <f t="shared" si="7"/>
        <v>504.53333333333336</v>
      </c>
      <c r="U17" s="37">
        <f t="shared" ca="1" si="8"/>
        <v>0.95282051282051272</v>
      </c>
      <c r="V17" s="4">
        <f t="shared" si="9"/>
        <v>490.86666666666667</v>
      </c>
      <c r="W17" s="37">
        <f t="shared" ca="1" si="10"/>
        <v>0.97910256410256413</v>
      </c>
      <c r="X17" s="4">
        <f t="shared" si="11"/>
        <v>477.2</v>
      </c>
      <c r="Y17" s="37">
        <f t="shared" ca="1" si="12"/>
        <v>1</v>
      </c>
    </row>
    <row r="18" spans="3:25" x14ac:dyDescent="0.25">
      <c r="C18" s="15" t="s">
        <v>11</v>
      </c>
      <c r="D18" s="15" t="str">
        <f t="shared" ca="1" si="0"/>
        <v>Perris North</v>
      </c>
      <c r="E18" s="13">
        <v>41445</v>
      </c>
      <c r="F18" s="4">
        <v>161.1</v>
      </c>
      <c r="G18" s="14" t="s">
        <v>34</v>
      </c>
      <c r="H18" s="13">
        <v>42465</v>
      </c>
      <c r="I18" s="4">
        <v>169</v>
      </c>
      <c r="J18" s="14" t="s">
        <v>34</v>
      </c>
      <c r="K18" s="4">
        <f t="shared" si="13"/>
        <v>7.9000000000000057</v>
      </c>
      <c r="L18" s="4">
        <f t="shared" si="4"/>
        <v>2.6333333333333351</v>
      </c>
      <c r="M18" s="27">
        <f t="shared" ca="1" si="5"/>
        <v>245</v>
      </c>
      <c r="N18" s="26">
        <f t="shared" ca="1" si="6"/>
        <v>76</v>
      </c>
      <c r="O18" s="13"/>
      <c r="P18" s="4"/>
      <c r="Q18" s="14"/>
      <c r="S18" s="26">
        <f t="shared" si="1"/>
        <v>2.6333333333333351</v>
      </c>
      <c r="T18" s="4">
        <f t="shared" si="7"/>
        <v>166.36666666666667</v>
      </c>
      <c r="U18" s="37">
        <f t="shared" ca="1" si="8"/>
        <v>0.87444444444444436</v>
      </c>
      <c r="V18" s="4">
        <f t="shared" si="9"/>
        <v>163.73333333333335</v>
      </c>
      <c r="W18" s="37">
        <f t="shared" ca="1" si="10"/>
        <v>0.88698412698412687</v>
      </c>
      <c r="X18" s="4">
        <f t="shared" si="11"/>
        <v>161.10000000000002</v>
      </c>
      <c r="Y18" s="37">
        <f t="shared" ca="1" si="12"/>
        <v>0.89952380952380939</v>
      </c>
    </row>
    <row r="19" spans="3:25" x14ac:dyDescent="0.25">
      <c r="C19" s="15" t="s">
        <v>12</v>
      </c>
      <c r="D19" s="15" t="str">
        <f t="shared" ca="1" si="0"/>
        <v>Perris North</v>
      </c>
      <c r="E19" s="13">
        <v>41445</v>
      </c>
      <c r="F19" s="4">
        <v>103.8</v>
      </c>
      <c r="G19" s="14" t="s">
        <v>34</v>
      </c>
      <c r="H19" s="13">
        <v>42465</v>
      </c>
      <c r="I19" s="4">
        <v>102</v>
      </c>
      <c r="J19" s="14" t="s">
        <v>34</v>
      </c>
      <c r="K19" s="4">
        <f t="shared" si="13"/>
        <v>-1.7999999999999972</v>
      </c>
      <c r="L19" s="4">
        <f t="shared" si="4"/>
        <v>-0.59999999999999909</v>
      </c>
      <c r="M19" s="27">
        <f t="shared" ca="1" si="5"/>
        <v>490</v>
      </c>
      <c r="N19" s="26">
        <f t="shared" ca="1" si="6"/>
        <v>388</v>
      </c>
      <c r="O19" s="13"/>
      <c r="P19" s="4"/>
      <c r="Q19" s="14"/>
      <c r="S19" s="26">
        <f t="shared" si="1"/>
        <v>-0.59999999999999909</v>
      </c>
      <c r="T19" s="4">
        <f t="shared" si="7"/>
        <v>102.6</v>
      </c>
      <c r="U19" s="37">
        <f t="shared" ca="1" si="8"/>
        <v>1</v>
      </c>
      <c r="V19" s="4">
        <f t="shared" si="9"/>
        <v>103.19999999999999</v>
      </c>
      <c r="W19" s="37">
        <f t="shared" ca="1" si="10"/>
        <v>1</v>
      </c>
      <c r="X19" s="4">
        <f t="shared" si="11"/>
        <v>103.79999999999998</v>
      </c>
      <c r="Y19" s="37">
        <f t="shared" ca="1" si="12"/>
        <v>1</v>
      </c>
    </row>
    <row r="20" spans="3:25" x14ac:dyDescent="0.25">
      <c r="C20" s="15" t="s">
        <v>13</v>
      </c>
      <c r="D20" s="15" t="str">
        <f t="shared" ca="1" si="0"/>
        <v>Perris North</v>
      </c>
      <c r="E20" s="13">
        <v>41444</v>
      </c>
      <c r="F20" s="4">
        <v>96.1</v>
      </c>
      <c r="G20" s="12" t="s">
        <v>34</v>
      </c>
      <c r="H20" s="17" t="s">
        <v>36</v>
      </c>
      <c r="I20" s="18"/>
      <c r="J20" s="17"/>
      <c r="K20" s="17"/>
      <c r="L20" s="17"/>
      <c r="M20" s="17"/>
      <c r="N20" s="17"/>
      <c r="O20" s="13">
        <v>42018</v>
      </c>
      <c r="P20" s="4">
        <v>65</v>
      </c>
      <c r="Q20" s="12" t="s">
        <v>33</v>
      </c>
      <c r="S20" s="26">
        <f t="shared" ca="1" si="1"/>
        <v>0.88888888888888884</v>
      </c>
      <c r="T20" s="4">
        <f ca="1">F20-(S20*4)</f>
        <v>92.544444444444437</v>
      </c>
      <c r="U20" s="37">
        <f t="shared" ca="1" si="8"/>
        <v>1</v>
      </c>
      <c r="V20" s="4">
        <f t="shared" ca="1" si="9"/>
        <v>91.655555555555551</v>
      </c>
      <c r="W20" s="37">
        <f t="shared" ca="1" si="10"/>
        <v>1</v>
      </c>
      <c r="X20" s="4">
        <f t="shared" ca="1" si="11"/>
        <v>90.766666666666666</v>
      </c>
      <c r="Y20" s="37">
        <f t="shared" ca="1" si="12"/>
        <v>1</v>
      </c>
    </row>
    <row r="21" spans="3:25" x14ac:dyDescent="0.25">
      <c r="C21" s="15" t="s">
        <v>14</v>
      </c>
      <c r="D21" s="15" t="str">
        <f t="shared" ca="1" si="0"/>
        <v>Perris North</v>
      </c>
      <c r="E21" s="13">
        <v>41445</v>
      </c>
      <c r="F21" s="4">
        <v>96.7</v>
      </c>
      <c r="G21" s="14" t="s">
        <v>34</v>
      </c>
      <c r="H21" s="13">
        <v>42472</v>
      </c>
      <c r="I21" s="4">
        <v>92</v>
      </c>
      <c r="J21" s="14" t="s">
        <v>34</v>
      </c>
      <c r="K21" s="4">
        <f t="shared" ref="K21:K25" si="14">I21-F21</f>
        <v>-4.7000000000000028</v>
      </c>
      <c r="L21" s="4">
        <f t="shared" ref="L21:L25" si="15">IFERROR(K21/3,"")</f>
        <v>-1.5666666666666675</v>
      </c>
      <c r="M21" s="27">
        <f ca="1">INDEX(WellInfo_TopPerf,MATCH($C21,WellInfo_Names,0),1)+($N$1*INDEX(WellInfo_ScreenLength,MATCH($C21,WellInfo_Names,0),1))</f>
        <v>462.5</v>
      </c>
      <c r="N21" s="26">
        <f t="shared" ref="N21:N25" ca="1" si="16">M21-I21</f>
        <v>370.5</v>
      </c>
      <c r="O21" s="13"/>
      <c r="P21" s="4"/>
      <c r="Q21" s="14"/>
      <c r="S21" s="26">
        <f t="shared" si="1"/>
        <v>-1.5666666666666675</v>
      </c>
      <c r="T21" s="4">
        <f t="shared" si="7"/>
        <v>93.566666666666663</v>
      </c>
      <c r="U21" s="37">
        <f t="shared" ca="1" si="8"/>
        <v>1</v>
      </c>
      <c r="V21" s="4">
        <f t="shared" si="9"/>
        <v>95.133333333333326</v>
      </c>
      <c r="W21" s="37">
        <f t="shared" ca="1" si="10"/>
        <v>1</v>
      </c>
      <c r="X21" s="4">
        <f t="shared" si="11"/>
        <v>96.699999999999989</v>
      </c>
      <c r="Y21" s="37">
        <f t="shared" ca="1" si="12"/>
        <v>1</v>
      </c>
    </row>
    <row r="22" spans="3:25" x14ac:dyDescent="0.25">
      <c r="C22" s="15" t="s">
        <v>15</v>
      </c>
      <c r="D22" s="15" t="str">
        <f t="shared" ca="1" si="0"/>
        <v>Upper Pressure</v>
      </c>
      <c r="E22" s="13">
        <v>41438</v>
      </c>
      <c r="F22" s="4">
        <v>441</v>
      </c>
      <c r="G22" s="14" t="s">
        <v>33</v>
      </c>
      <c r="H22" s="13">
        <v>42475</v>
      </c>
      <c r="I22" s="4">
        <v>455.5</v>
      </c>
      <c r="J22" s="14" t="s">
        <v>33</v>
      </c>
      <c r="K22" s="4">
        <f t="shared" si="14"/>
        <v>14.5</v>
      </c>
      <c r="L22" s="4">
        <f t="shared" si="15"/>
        <v>4.833333333333333</v>
      </c>
      <c r="M22" s="27">
        <f ca="1">INDEX(WellInfo_TopPerf,MATCH($C22,WellInfo_Names,0),1)+($N$1*INDEX(WellInfo_ScreenLength,MATCH($C22,WellInfo_Names,0),1))</f>
        <v>820</v>
      </c>
      <c r="N22" s="26">
        <f t="shared" ca="1" si="16"/>
        <v>364.5</v>
      </c>
      <c r="O22" s="13"/>
      <c r="P22" s="4"/>
      <c r="Q22" s="14"/>
      <c r="S22" s="26">
        <f t="shared" si="1"/>
        <v>4.833333333333333</v>
      </c>
      <c r="T22" s="4">
        <f t="shared" si="7"/>
        <v>450.66666666666669</v>
      </c>
      <c r="U22" s="37">
        <f t="shared" ca="1" si="8"/>
        <v>0.92945736434108517</v>
      </c>
      <c r="V22" s="4">
        <f t="shared" si="9"/>
        <v>445.83333333333337</v>
      </c>
      <c r="W22" s="37">
        <f t="shared" ca="1" si="10"/>
        <v>0.93507751937984496</v>
      </c>
      <c r="X22" s="4">
        <f t="shared" si="11"/>
        <v>441.00000000000006</v>
      </c>
      <c r="Y22" s="37">
        <f t="shared" ca="1" si="12"/>
        <v>0.94069767441860463</v>
      </c>
    </row>
    <row r="23" spans="3:25" x14ac:dyDescent="0.25">
      <c r="C23" s="15" t="s">
        <v>16</v>
      </c>
      <c r="D23" s="15" t="str">
        <f t="shared" ca="1" si="0"/>
        <v>Upper Pressure</v>
      </c>
      <c r="E23" s="13">
        <v>41451</v>
      </c>
      <c r="F23" s="4">
        <v>495</v>
      </c>
      <c r="G23" s="14" t="s">
        <v>34</v>
      </c>
      <c r="H23" s="13">
        <v>42475</v>
      </c>
      <c r="I23" s="4">
        <v>536.20000000000005</v>
      </c>
      <c r="J23" s="14" t="s">
        <v>34</v>
      </c>
      <c r="K23" s="4">
        <f t="shared" si="14"/>
        <v>41.200000000000045</v>
      </c>
      <c r="L23" s="4">
        <f t="shared" si="15"/>
        <v>13.733333333333348</v>
      </c>
      <c r="M23" s="27">
        <f ca="1">INDEX(WellInfo_TopPerf,MATCH($C23,WellInfo_Names,0),1)+($N$1*INDEX(WellInfo_ScreenLength,MATCH($C23,WellInfo_Names,0),1))</f>
        <v>785</v>
      </c>
      <c r="N23" s="26">
        <f t="shared" ca="1" si="16"/>
        <v>248.79999999999995</v>
      </c>
      <c r="O23" s="13"/>
      <c r="P23" s="4"/>
      <c r="Q23" s="14"/>
      <c r="S23" s="26">
        <f t="shared" si="1"/>
        <v>13.733333333333348</v>
      </c>
      <c r="T23" s="4">
        <f t="shared" si="7"/>
        <v>522.4666666666667</v>
      </c>
      <c r="U23" s="37">
        <f t="shared" ca="1" si="8"/>
        <v>0.97733333333333328</v>
      </c>
      <c r="V23" s="4">
        <f t="shared" si="9"/>
        <v>508.73333333333335</v>
      </c>
      <c r="W23" s="37">
        <f t="shared" ca="1" si="10"/>
        <v>1</v>
      </c>
      <c r="X23" s="4">
        <f t="shared" si="11"/>
        <v>495</v>
      </c>
      <c r="Y23" s="37">
        <f t="shared" ca="1" si="12"/>
        <v>1</v>
      </c>
    </row>
    <row r="24" spans="3:25" x14ac:dyDescent="0.25">
      <c r="C24" s="15" t="s">
        <v>17</v>
      </c>
      <c r="D24" s="15" t="str">
        <f t="shared" ca="1" si="0"/>
        <v>Upper Pressure</v>
      </c>
      <c r="E24" s="13">
        <v>41486</v>
      </c>
      <c r="F24" s="4">
        <v>515</v>
      </c>
      <c r="G24" s="14" t="s">
        <v>34</v>
      </c>
      <c r="H24" s="13">
        <v>42479</v>
      </c>
      <c r="I24" s="4">
        <v>572</v>
      </c>
      <c r="J24" s="14" t="s">
        <v>34</v>
      </c>
      <c r="K24" s="4">
        <f t="shared" si="14"/>
        <v>57</v>
      </c>
      <c r="L24" s="4">
        <f t="shared" si="15"/>
        <v>19</v>
      </c>
      <c r="M24" s="27">
        <f ca="1">INDEX(WellInfo_TopPerf,MATCH($C24,WellInfo_Names,0),1)+($N$1*INDEX(WellInfo_ScreenLength,MATCH($C24,WellInfo_Names,0),1))</f>
        <v>800</v>
      </c>
      <c r="N24" s="26">
        <f t="shared" ca="1" si="16"/>
        <v>228</v>
      </c>
      <c r="O24" s="13"/>
      <c r="P24" s="4"/>
      <c r="Q24" s="14"/>
      <c r="S24" s="26">
        <f t="shared" si="1"/>
        <v>19</v>
      </c>
      <c r="T24" s="4">
        <f t="shared" si="7"/>
        <v>553</v>
      </c>
      <c r="U24" s="37">
        <f t="shared" ca="1" si="8"/>
        <v>0.8632352941176471</v>
      </c>
      <c r="V24" s="4">
        <f t="shared" si="9"/>
        <v>534</v>
      </c>
      <c r="W24" s="37">
        <f t="shared" ca="1" si="10"/>
        <v>0.89117647058823535</v>
      </c>
      <c r="X24" s="4">
        <f t="shared" si="11"/>
        <v>515</v>
      </c>
      <c r="Y24" s="37">
        <f t="shared" ca="1" si="12"/>
        <v>0.91911764705882348</v>
      </c>
    </row>
    <row r="25" spans="3:25" x14ac:dyDescent="0.25">
      <c r="C25" s="15" t="s">
        <v>18</v>
      </c>
      <c r="D25" s="15" t="str">
        <f t="shared" ca="1" si="0"/>
        <v>Upper Pressure</v>
      </c>
      <c r="E25" s="13">
        <v>41332</v>
      </c>
      <c r="F25" s="4">
        <v>511.6</v>
      </c>
      <c r="G25" s="14" t="s">
        <v>33</v>
      </c>
      <c r="H25" s="13">
        <v>42480</v>
      </c>
      <c r="I25" s="4">
        <v>530.6</v>
      </c>
      <c r="J25" s="14" t="s">
        <v>33</v>
      </c>
      <c r="K25" s="4">
        <f t="shared" si="14"/>
        <v>19</v>
      </c>
      <c r="L25" s="4">
        <f t="shared" si="15"/>
        <v>6.333333333333333</v>
      </c>
      <c r="M25" s="27">
        <f ca="1">INDEX(WellInfo_TopPerf,MATCH($C25,WellInfo_Names,0),1)+($N$1*INDEX(WellInfo_ScreenLength,MATCH($C25,WellInfo_Names,0),1))</f>
        <v>840</v>
      </c>
      <c r="N25" s="26">
        <f t="shared" ca="1" si="16"/>
        <v>309.39999999999998</v>
      </c>
      <c r="O25" s="13"/>
      <c r="P25" s="4"/>
      <c r="Q25" s="14"/>
      <c r="S25" s="26">
        <f t="shared" si="1"/>
        <v>6.333333333333333</v>
      </c>
      <c r="T25" s="4">
        <f t="shared" si="7"/>
        <v>524.26666666666665</v>
      </c>
      <c r="U25" s="37">
        <f t="shared" ca="1" si="8"/>
        <v>0.93851851851851853</v>
      </c>
      <c r="V25" s="4">
        <f t="shared" si="9"/>
        <v>517.93333333333328</v>
      </c>
      <c r="W25" s="37">
        <f t="shared" ca="1" si="10"/>
        <v>0.94731481481481494</v>
      </c>
      <c r="X25" s="4">
        <f t="shared" si="11"/>
        <v>511.59999999999997</v>
      </c>
      <c r="Y25" s="37">
        <f t="shared" ca="1" si="12"/>
        <v>0.95611111111111124</v>
      </c>
    </row>
    <row r="27" spans="3:25" x14ac:dyDescent="0.25">
      <c r="C27" s="38" t="s">
        <v>44</v>
      </c>
      <c r="D27" s="39"/>
      <c r="E27" s="32"/>
      <c r="F27" s="32"/>
      <c r="G27" s="32"/>
      <c r="H27" s="32"/>
      <c r="I27" s="32"/>
      <c r="J27" s="32"/>
      <c r="K27" s="32"/>
      <c r="L27" s="32"/>
      <c r="M27" s="32"/>
      <c r="N27" s="32"/>
      <c r="O27" s="32"/>
      <c r="P27" s="32"/>
      <c r="Q27" s="32"/>
      <c r="R27" s="32"/>
      <c r="S27" s="32"/>
      <c r="T27" s="32"/>
      <c r="U27" s="32"/>
      <c r="V27" s="32"/>
      <c r="W27" s="32"/>
      <c r="X27" s="32"/>
      <c r="Y27" s="32"/>
    </row>
    <row r="28" spans="3:25" ht="38.25" customHeight="1" x14ac:dyDescent="0.25">
      <c r="C28" s="76" t="s">
        <v>61</v>
      </c>
      <c r="D28" s="76"/>
      <c r="E28" s="76"/>
      <c r="F28" s="76"/>
      <c r="G28" s="76"/>
      <c r="H28" s="76"/>
      <c r="I28" s="76"/>
      <c r="J28" s="76"/>
      <c r="K28" s="76"/>
      <c r="L28" s="76"/>
      <c r="M28" s="76"/>
      <c r="N28" s="76"/>
      <c r="O28" s="76"/>
      <c r="P28" s="76"/>
      <c r="Q28" s="76"/>
      <c r="R28" s="76"/>
      <c r="S28" s="76"/>
      <c r="T28" s="76"/>
      <c r="U28" s="76"/>
      <c r="V28" s="76"/>
      <c r="W28" s="76"/>
      <c r="X28" s="76"/>
      <c r="Y28" s="76"/>
    </row>
    <row r="29" spans="3:25" ht="12.75" customHeight="1" x14ac:dyDescent="0.25">
      <c r="C29" s="77" t="s">
        <v>63</v>
      </c>
      <c r="D29" s="77"/>
      <c r="E29" s="77"/>
      <c r="F29" s="77"/>
      <c r="G29" s="77"/>
      <c r="H29" s="77"/>
      <c r="I29" s="77"/>
      <c r="J29" s="77"/>
      <c r="K29" s="77"/>
      <c r="L29" s="77"/>
      <c r="M29" s="77"/>
      <c r="N29" s="77"/>
      <c r="O29" s="77"/>
      <c r="P29" s="77"/>
      <c r="Q29" s="77"/>
      <c r="R29" s="77"/>
      <c r="S29" s="77"/>
      <c r="T29" s="77"/>
      <c r="U29" s="77"/>
      <c r="V29" s="77"/>
      <c r="W29" s="77"/>
      <c r="X29" s="77"/>
      <c r="Y29" s="77"/>
    </row>
    <row r="30" spans="3:25" ht="25.5" customHeight="1" x14ac:dyDescent="0.25">
      <c r="C30" s="77" t="s">
        <v>64</v>
      </c>
      <c r="D30" s="77"/>
      <c r="E30" s="77"/>
      <c r="F30" s="77"/>
      <c r="G30" s="77"/>
      <c r="H30" s="77"/>
      <c r="I30" s="77"/>
      <c r="J30" s="77"/>
      <c r="K30" s="77"/>
      <c r="L30" s="77"/>
      <c r="M30" s="77"/>
      <c r="N30" s="77"/>
      <c r="O30" s="77"/>
      <c r="P30" s="77"/>
      <c r="Q30" s="77"/>
      <c r="R30" s="77"/>
      <c r="S30" s="77"/>
      <c r="T30" s="77"/>
      <c r="U30" s="77"/>
      <c r="V30" s="77"/>
      <c r="W30" s="77"/>
      <c r="X30" s="77"/>
      <c r="Y30" s="77"/>
    </row>
    <row r="31" spans="3:25" ht="38.25" customHeight="1" x14ac:dyDescent="0.25">
      <c r="C31" s="77" t="s">
        <v>66</v>
      </c>
      <c r="D31" s="77"/>
      <c r="E31" s="77"/>
      <c r="F31" s="77"/>
      <c r="G31" s="77"/>
      <c r="H31" s="77"/>
      <c r="I31" s="77"/>
      <c r="J31" s="77"/>
      <c r="K31" s="77"/>
      <c r="L31" s="77"/>
      <c r="M31" s="77"/>
      <c r="N31" s="77"/>
      <c r="O31" s="77"/>
      <c r="P31" s="77"/>
      <c r="Q31" s="77"/>
      <c r="R31" s="77"/>
      <c r="S31" s="77"/>
      <c r="T31" s="77"/>
      <c r="U31" s="77"/>
      <c r="V31" s="77"/>
      <c r="W31" s="77"/>
      <c r="X31" s="77"/>
      <c r="Y31" s="77"/>
    </row>
  </sheetData>
  <mergeCells count="4">
    <mergeCell ref="C28:Y28"/>
    <mergeCell ref="C29:Y29"/>
    <mergeCell ref="C30:Y30"/>
    <mergeCell ref="C31:Y31"/>
  </mergeCells>
  <conditionalFormatting sqref="J8:N8 J9 J11:J19 J21:J25">
    <cfRule type="cellIs" dxfId="31" priority="41" operator="equal">
      <formula>"Pumping"</formula>
    </cfRule>
    <cfRule type="cellIs" dxfId="30" priority="42" operator="equal">
      <formula>"Static"</formula>
    </cfRule>
  </conditionalFormatting>
  <conditionalFormatting sqref="G8 G10:G11 G14:G25">
    <cfRule type="cellIs" dxfId="29" priority="39" operator="equal">
      <formula>"Pumping"</formula>
    </cfRule>
    <cfRule type="cellIs" dxfId="28" priority="40" operator="equal">
      <formula>"Static"</formula>
    </cfRule>
  </conditionalFormatting>
  <conditionalFormatting sqref="Q8:Q25">
    <cfRule type="cellIs" dxfId="27" priority="37" operator="equal">
      <formula>"Pumping"</formula>
    </cfRule>
    <cfRule type="cellIs" dxfId="26" priority="38" operator="equal">
      <formula>"Static"</formula>
    </cfRule>
  </conditionalFormatting>
  <conditionalFormatting sqref="G9">
    <cfRule type="cellIs" dxfId="25" priority="35" operator="equal">
      <formula>"Pumping"</formula>
    </cfRule>
    <cfRule type="cellIs" dxfId="24" priority="36" operator="equal">
      <formula>"Static"</formula>
    </cfRule>
  </conditionalFormatting>
  <conditionalFormatting sqref="G12:G13">
    <cfRule type="cellIs" dxfId="23" priority="33" operator="equal">
      <formula>"Pumping"</formula>
    </cfRule>
    <cfRule type="cellIs" dxfId="22" priority="34" operator="equal">
      <formula>"Static"</formula>
    </cfRule>
  </conditionalFormatting>
  <conditionalFormatting sqref="J10:N10">
    <cfRule type="cellIs" dxfId="21" priority="31" operator="equal">
      <formula>"Pumping"</formula>
    </cfRule>
    <cfRule type="cellIs" dxfId="20" priority="32" operator="equal">
      <formula>"Static"</formula>
    </cfRule>
  </conditionalFormatting>
  <conditionalFormatting sqref="J20:N20">
    <cfRule type="cellIs" dxfId="19" priority="29" operator="equal">
      <formula>"Pumping"</formula>
    </cfRule>
    <cfRule type="cellIs" dxfId="18" priority="30" operator="equal">
      <formula>"Static"</formula>
    </cfRule>
  </conditionalFormatting>
  <conditionalFormatting sqref="U9:U11">
    <cfRule type="cellIs" dxfId="17" priority="16" operator="lessThan">
      <formula>$N$1</formula>
    </cfRule>
    <cfRule type="cellIs" dxfId="16" priority="17" operator="equal">
      <formula>$N$1</formula>
    </cfRule>
    <cfRule type="cellIs" dxfId="15" priority="18" operator="greaterThan">
      <formula>$N$1</formula>
    </cfRule>
  </conditionalFormatting>
  <conditionalFormatting sqref="W9:W11">
    <cfRule type="cellIs" dxfId="14" priority="13" operator="lessThan">
      <formula>$N$1</formula>
    </cfRule>
    <cfRule type="cellIs" dxfId="13" priority="14" operator="equal">
      <formula>$N$1</formula>
    </cfRule>
    <cfRule type="cellIs" dxfId="12" priority="15" operator="greaterThan">
      <formula>$N$1</formula>
    </cfRule>
  </conditionalFormatting>
  <conditionalFormatting sqref="Y9:Y11">
    <cfRule type="cellIs" dxfId="11" priority="10" operator="lessThan">
      <formula>$N$1</formula>
    </cfRule>
    <cfRule type="cellIs" dxfId="10" priority="11" operator="equal">
      <formula>$N$1</formula>
    </cfRule>
    <cfRule type="cellIs" dxfId="9" priority="12" operator="greaterThan">
      <formula>$N$1</formula>
    </cfRule>
  </conditionalFormatting>
  <conditionalFormatting sqref="U13:U25">
    <cfRule type="cellIs" dxfId="8" priority="7" operator="lessThan">
      <formula>$N$1</formula>
    </cfRule>
    <cfRule type="cellIs" dxfId="7" priority="8" operator="equal">
      <formula>$N$1</formula>
    </cfRule>
    <cfRule type="cellIs" dxfId="6" priority="9" operator="greaterThan">
      <formula>$N$1</formula>
    </cfRule>
  </conditionalFormatting>
  <conditionalFormatting sqref="W13:W25">
    <cfRule type="cellIs" dxfId="5" priority="4" operator="lessThan">
      <formula>$N$1</formula>
    </cfRule>
    <cfRule type="cellIs" dxfId="4" priority="5" operator="equal">
      <formula>$N$1</formula>
    </cfRule>
    <cfRule type="cellIs" dxfId="3" priority="6" operator="greaterThan">
      <formula>$N$1</formula>
    </cfRule>
  </conditionalFormatting>
  <conditionalFormatting sqref="Y13:Y25">
    <cfRule type="cellIs" dxfId="2" priority="1" operator="lessThan">
      <formula>$N$1</formula>
    </cfRule>
    <cfRule type="cellIs" dxfId="1" priority="2" operator="equal">
      <formula>$N$1</formula>
    </cfRule>
    <cfRule type="cellIs" dxfId="0" priority="3" operator="greaterThan">
      <formula>$N$1</formula>
    </cfRule>
  </conditionalFormatting>
  <pageMargins left="0.25" right="0.25" top="0.75" bottom="0.75" header="0.3" footer="0.3"/>
  <pageSetup paperSize="17" scale="78" fitToHeight="0" orientation="landscape" r:id="rId1"/>
  <ignoredErrors>
    <ignoredError sqref="V9:V25 X9:X25 T10 T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20"/>
    <pageSetUpPr fitToPage="1"/>
  </sheetPr>
  <dimension ref="C1:K32"/>
  <sheetViews>
    <sheetView workbookViewId="0">
      <selection activeCell="C1" sqref="C1"/>
    </sheetView>
  </sheetViews>
  <sheetFormatPr defaultRowHeight="15" x14ac:dyDescent="0.25"/>
  <cols>
    <col min="1" max="2" width="2.7109375" customWidth="1"/>
    <col min="3" max="3" width="26" bestFit="1" customWidth="1"/>
    <col min="4" max="5" width="10.7109375" customWidth="1"/>
    <col min="6" max="7" width="3.7109375" customWidth="1"/>
    <col min="9" max="11" width="12.7109375" customWidth="1"/>
    <col min="12" max="13" width="2.7109375" customWidth="1"/>
  </cols>
  <sheetData>
    <row r="1" spans="3:11" x14ac:dyDescent="0.25">
      <c r="C1" s="36"/>
      <c r="D1" s="23" t="s">
        <v>45</v>
      </c>
      <c r="E1" s="22">
        <v>0.1</v>
      </c>
      <c r="H1" s="23" t="s">
        <v>46</v>
      </c>
      <c r="I1" s="29">
        <v>1.9835</v>
      </c>
      <c r="J1" s="1" t="s">
        <v>47</v>
      </c>
    </row>
    <row r="3" spans="3:11" ht="15.75" x14ac:dyDescent="0.25">
      <c r="C3" s="19" t="s">
        <v>134</v>
      </c>
      <c r="D3" s="19"/>
      <c r="E3" s="19"/>
      <c r="H3" s="8" t="s">
        <v>70</v>
      </c>
      <c r="I3" s="9"/>
      <c r="J3" s="9"/>
      <c r="K3" s="9"/>
    </row>
    <row r="4" spans="3:11" ht="15.75" x14ac:dyDescent="0.25">
      <c r="C4" s="11" t="s">
        <v>0</v>
      </c>
      <c r="D4" s="35" t="s">
        <v>49</v>
      </c>
      <c r="E4" s="35" t="s">
        <v>50</v>
      </c>
      <c r="H4" s="11" t="s">
        <v>67</v>
      </c>
      <c r="I4" s="11" t="s">
        <v>69</v>
      </c>
      <c r="J4" s="11" t="s">
        <v>71</v>
      </c>
      <c r="K4" s="11" t="s">
        <v>68</v>
      </c>
    </row>
    <row r="5" spans="3:11" x14ac:dyDescent="0.25">
      <c r="C5" s="15" t="s">
        <v>1</v>
      </c>
      <c r="D5" s="28">
        <v>0</v>
      </c>
      <c r="E5" s="27">
        <f t="shared" ref="E5:E22" si="0">D5*$I$1*365*(1-$E$1)</f>
        <v>0</v>
      </c>
      <c r="H5" s="14">
        <v>2017</v>
      </c>
      <c r="I5" s="66">
        <v>8043.2291445393676</v>
      </c>
      <c r="J5" s="66">
        <v>2000</v>
      </c>
      <c r="K5" s="66">
        <f>I5+J5</f>
        <v>10043.229144539368</v>
      </c>
    </row>
    <row r="6" spans="3:11" x14ac:dyDescent="0.25">
      <c r="C6" s="15" t="s">
        <v>2</v>
      </c>
      <c r="D6" s="28">
        <v>3.45</v>
      </c>
      <c r="E6" s="27">
        <f t="shared" si="0"/>
        <v>2247.9501375000004</v>
      </c>
      <c r="H6" s="14">
        <v>2018</v>
      </c>
      <c r="I6" s="27">
        <v>7470.2582887662356</v>
      </c>
      <c r="J6" s="27">
        <v>2000</v>
      </c>
      <c r="K6" s="27">
        <f t="shared" ref="K6:K7" si="1">I6+J6</f>
        <v>9470.2582887662356</v>
      </c>
    </row>
    <row r="7" spans="3:11" x14ac:dyDescent="0.25">
      <c r="C7" s="15" t="s">
        <v>3</v>
      </c>
      <c r="D7" s="28">
        <v>2.88</v>
      </c>
      <c r="E7" s="27">
        <f t="shared" si="0"/>
        <v>1876.5496800000003</v>
      </c>
      <c r="H7" s="14">
        <v>2019</v>
      </c>
      <c r="I7" s="27">
        <v>7303.4060623954338</v>
      </c>
      <c r="J7" s="27">
        <v>2000</v>
      </c>
      <c r="K7" s="27">
        <f t="shared" si="1"/>
        <v>9303.4060623954338</v>
      </c>
    </row>
    <row r="8" spans="3:11" x14ac:dyDescent="0.25">
      <c r="C8" s="15" t="s">
        <v>4</v>
      </c>
      <c r="D8" s="28">
        <v>4.9000000000000004</v>
      </c>
      <c r="E8" s="27">
        <f t="shared" si="0"/>
        <v>3192.7407750000002</v>
      </c>
    </row>
    <row r="9" spans="3:11" x14ac:dyDescent="0.25">
      <c r="C9" s="15" t="s">
        <v>5</v>
      </c>
      <c r="D9" s="28">
        <v>0</v>
      </c>
      <c r="E9" s="27">
        <f t="shared" si="0"/>
        <v>0</v>
      </c>
    </row>
    <row r="10" spans="3:11" x14ac:dyDescent="0.25">
      <c r="C10" s="15" t="s">
        <v>6</v>
      </c>
      <c r="D10" s="28">
        <v>3.12</v>
      </c>
      <c r="E10" s="27">
        <f t="shared" si="0"/>
        <v>2032.9288200000001</v>
      </c>
    </row>
    <row r="11" spans="3:11" x14ac:dyDescent="0.25">
      <c r="C11" s="15" t="s">
        <v>7</v>
      </c>
      <c r="D11" s="28">
        <v>2.0099999999999998</v>
      </c>
      <c r="E11" s="27">
        <f t="shared" si="0"/>
        <v>1309.6752974999999</v>
      </c>
    </row>
    <row r="12" spans="3:11" x14ac:dyDescent="0.25">
      <c r="C12" s="15" t="s">
        <v>8</v>
      </c>
      <c r="D12" s="28">
        <v>2.9</v>
      </c>
      <c r="E12" s="27">
        <f t="shared" si="0"/>
        <v>1889.5812750000002</v>
      </c>
    </row>
    <row r="13" spans="3:11" x14ac:dyDescent="0.25">
      <c r="C13" s="15" t="s">
        <v>9</v>
      </c>
      <c r="D13" s="28">
        <v>2.0299999999999998</v>
      </c>
      <c r="E13" s="27">
        <f t="shared" si="0"/>
        <v>1322.7068924999999</v>
      </c>
    </row>
    <row r="14" spans="3:11" x14ac:dyDescent="0.25">
      <c r="C14" s="15" t="s">
        <v>10</v>
      </c>
      <c r="D14" s="28">
        <v>2.56</v>
      </c>
      <c r="E14" s="27">
        <f t="shared" si="0"/>
        <v>1668.0441600000001</v>
      </c>
    </row>
    <row r="15" spans="3:11" x14ac:dyDescent="0.25">
      <c r="C15" s="15" t="s">
        <v>11</v>
      </c>
      <c r="D15" s="28">
        <v>1.67</v>
      </c>
      <c r="E15" s="27">
        <f t="shared" si="0"/>
        <v>1088.1381824999999</v>
      </c>
    </row>
    <row r="16" spans="3:11" x14ac:dyDescent="0.25">
      <c r="C16" s="15" t="s">
        <v>12</v>
      </c>
      <c r="D16" s="28">
        <v>2.3199999999999998</v>
      </c>
      <c r="E16" s="27">
        <f t="shared" si="0"/>
        <v>1511.6650199999999</v>
      </c>
    </row>
    <row r="17" spans="3:11" x14ac:dyDescent="0.25">
      <c r="C17" s="15" t="s">
        <v>13</v>
      </c>
      <c r="D17" s="28">
        <v>2.0099999999999998</v>
      </c>
      <c r="E17" s="27">
        <f t="shared" si="0"/>
        <v>1309.6752974999999</v>
      </c>
    </row>
    <row r="18" spans="3:11" x14ac:dyDescent="0.25">
      <c r="C18" s="15" t="s">
        <v>14</v>
      </c>
      <c r="D18" s="28">
        <v>2.23</v>
      </c>
      <c r="E18" s="27">
        <f t="shared" si="0"/>
        <v>1453.0228425000003</v>
      </c>
    </row>
    <row r="19" spans="3:11" x14ac:dyDescent="0.25">
      <c r="C19" s="15" t="s">
        <v>15</v>
      </c>
      <c r="D19" s="28">
        <v>1.28</v>
      </c>
      <c r="E19" s="27">
        <f t="shared" si="0"/>
        <v>834.02208000000007</v>
      </c>
    </row>
    <row r="20" spans="3:11" x14ac:dyDescent="0.25">
      <c r="C20" s="15" t="s">
        <v>16</v>
      </c>
      <c r="D20" s="28">
        <v>4.01</v>
      </c>
      <c r="E20" s="27">
        <f t="shared" si="0"/>
        <v>2612.8347975000001</v>
      </c>
    </row>
    <row r="21" spans="3:11" x14ac:dyDescent="0.25">
      <c r="C21" s="15" t="s">
        <v>17</v>
      </c>
      <c r="D21" s="28">
        <v>3.79</v>
      </c>
      <c r="E21" s="27">
        <f t="shared" si="0"/>
        <v>2469.4872525000001</v>
      </c>
    </row>
    <row r="22" spans="3:11" x14ac:dyDescent="0.25">
      <c r="C22" s="15" t="s">
        <v>18</v>
      </c>
      <c r="D22" s="28">
        <v>2.4500000000000002</v>
      </c>
      <c r="E22" s="27">
        <f t="shared" si="0"/>
        <v>1596.3703875000001</v>
      </c>
    </row>
    <row r="24" spans="3:11" x14ac:dyDescent="0.25">
      <c r="D24" s="30" t="s">
        <v>135</v>
      </c>
      <c r="E24" s="3">
        <f>SUM(E5:E22)</f>
        <v>28415.392897499998</v>
      </c>
    </row>
    <row r="26" spans="3:11" x14ac:dyDescent="0.25">
      <c r="C26" s="56" t="s">
        <v>44</v>
      </c>
      <c r="D26" s="32"/>
      <c r="E26" s="32"/>
      <c r="F26" s="32"/>
      <c r="G26" s="32"/>
      <c r="H26" s="32"/>
      <c r="I26" s="32"/>
      <c r="J26" s="32"/>
      <c r="K26" s="32"/>
    </row>
    <row r="27" spans="3:11" x14ac:dyDescent="0.25">
      <c r="C27" s="79" t="s">
        <v>136</v>
      </c>
      <c r="D27" s="79"/>
      <c r="E27" s="79"/>
      <c r="F27" s="79"/>
      <c r="G27" s="79"/>
      <c r="H27" s="79"/>
      <c r="I27" s="79"/>
      <c r="J27" s="79"/>
      <c r="K27" s="79"/>
    </row>
    <row r="28" spans="3:11" x14ac:dyDescent="0.25">
      <c r="C28" s="80" t="s">
        <v>137</v>
      </c>
      <c r="D28" s="80"/>
      <c r="E28" s="80"/>
      <c r="F28" s="80"/>
      <c r="G28" s="80"/>
      <c r="H28" s="80"/>
      <c r="I28" s="80"/>
      <c r="J28" s="80"/>
      <c r="K28" s="80"/>
    </row>
    <row r="29" spans="3:11" ht="38.25" customHeight="1" x14ac:dyDescent="0.25">
      <c r="C29" s="78" t="s">
        <v>141</v>
      </c>
      <c r="D29" s="78"/>
      <c r="E29" s="78"/>
      <c r="F29" s="78"/>
      <c r="G29" s="78"/>
      <c r="H29" s="78"/>
      <c r="I29" s="78"/>
      <c r="J29" s="78"/>
      <c r="K29" s="78"/>
    </row>
    <row r="30" spans="3:11" ht="25.5" customHeight="1" x14ac:dyDescent="0.25">
      <c r="C30" s="78" t="s">
        <v>138</v>
      </c>
      <c r="D30" s="78"/>
      <c r="E30" s="78"/>
      <c r="F30" s="78"/>
      <c r="G30" s="78"/>
      <c r="H30" s="78"/>
      <c r="I30" s="78"/>
      <c r="J30" s="78"/>
      <c r="K30" s="78"/>
    </row>
    <row r="31" spans="3:11" x14ac:dyDescent="0.25">
      <c r="C31" s="78" t="s">
        <v>139</v>
      </c>
      <c r="D31" s="78"/>
      <c r="E31" s="78"/>
      <c r="F31" s="78"/>
      <c r="G31" s="78"/>
      <c r="H31" s="78"/>
      <c r="I31" s="78"/>
      <c r="J31" s="78"/>
      <c r="K31" s="78"/>
    </row>
    <row r="32" spans="3:11" x14ac:dyDescent="0.25">
      <c r="C32" s="78" t="s">
        <v>140</v>
      </c>
      <c r="D32" s="78"/>
      <c r="E32" s="78"/>
      <c r="F32" s="78"/>
      <c r="G32" s="78"/>
      <c r="H32" s="78"/>
      <c r="I32" s="78"/>
      <c r="J32" s="78"/>
      <c r="K32" s="78"/>
    </row>
  </sheetData>
  <mergeCells count="6">
    <mergeCell ref="C32:K32"/>
    <mergeCell ref="C27:K27"/>
    <mergeCell ref="C28:K28"/>
    <mergeCell ref="C29:K29"/>
    <mergeCell ref="C30:K30"/>
    <mergeCell ref="C31:K31"/>
  </mergeCell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20"/>
  </sheetPr>
  <dimension ref="C1:H22"/>
  <sheetViews>
    <sheetView workbookViewId="0">
      <selection activeCell="C1" sqref="C1"/>
    </sheetView>
  </sheetViews>
  <sheetFormatPr defaultRowHeight="15" x14ac:dyDescent="0.25"/>
  <cols>
    <col min="1" max="2" width="2.7109375" customWidth="1"/>
    <col min="3" max="3" width="26" bestFit="1" customWidth="1"/>
    <col min="4" max="4" width="13.140625" bestFit="1" customWidth="1"/>
    <col min="5" max="7" width="10.7109375" customWidth="1"/>
    <col min="9" max="10" width="2.7109375" customWidth="1"/>
  </cols>
  <sheetData>
    <row r="1" spans="3:8" x14ac:dyDescent="0.25">
      <c r="C1" s="36"/>
    </row>
    <row r="3" spans="3:8" x14ac:dyDescent="0.25">
      <c r="C3" s="8" t="s">
        <v>25</v>
      </c>
      <c r="D3" s="9"/>
      <c r="E3" s="9"/>
      <c r="F3" s="9"/>
      <c r="G3" s="9"/>
      <c r="H3" s="9"/>
    </row>
    <row r="4" spans="3:8" x14ac:dyDescent="0.25">
      <c r="C4" s="11" t="s">
        <v>0</v>
      </c>
      <c r="D4" s="11" t="s">
        <v>19</v>
      </c>
      <c r="E4" s="11" t="s">
        <v>20</v>
      </c>
      <c r="F4" s="11" t="s">
        <v>26</v>
      </c>
      <c r="G4" s="11" t="s">
        <v>27</v>
      </c>
      <c r="H4" s="11" t="s">
        <v>39</v>
      </c>
    </row>
    <row r="5" spans="3:8" x14ac:dyDescent="0.25">
      <c r="C5" s="15" t="s">
        <v>1</v>
      </c>
      <c r="D5" s="63" t="s">
        <v>21</v>
      </c>
      <c r="E5" s="27">
        <v>1618</v>
      </c>
      <c r="F5" s="27">
        <v>252</v>
      </c>
      <c r="G5" s="27">
        <v>1000</v>
      </c>
      <c r="H5" s="27">
        <f>G5-F5</f>
        <v>748</v>
      </c>
    </row>
    <row r="6" spans="3:8" x14ac:dyDescent="0.25">
      <c r="C6" s="15" t="s">
        <v>2</v>
      </c>
      <c r="D6" s="63" t="s">
        <v>22</v>
      </c>
      <c r="E6" s="27">
        <v>1666.4</v>
      </c>
      <c r="F6" s="27">
        <v>56</v>
      </c>
      <c r="G6" s="27">
        <v>1122</v>
      </c>
      <c r="H6" s="27">
        <f t="shared" ref="H6:H22" si="0">G6-F6</f>
        <v>1066</v>
      </c>
    </row>
    <row r="7" spans="3:8" x14ac:dyDescent="0.25">
      <c r="C7" s="15" t="s">
        <v>3</v>
      </c>
      <c r="D7" s="63" t="s">
        <v>21</v>
      </c>
      <c r="E7" s="27">
        <v>1592</v>
      </c>
      <c r="F7" s="27">
        <v>470</v>
      </c>
      <c r="G7" s="27">
        <v>1530</v>
      </c>
      <c r="H7" s="27">
        <f t="shared" si="0"/>
        <v>1060</v>
      </c>
    </row>
    <row r="8" spans="3:8" x14ac:dyDescent="0.25">
      <c r="C8" s="15" t="s">
        <v>4</v>
      </c>
      <c r="D8" s="63" t="s">
        <v>22</v>
      </c>
      <c r="E8" s="27">
        <v>1667.2</v>
      </c>
      <c r="F8" s="27">
        <v>350</v>
      </c>
      <c r="G8" s="27">
        <v>1460</v>
      </c>
      <c r="H8" s="27">
        <f t="shared" si="0"/>
        <v>1110</v>
      </c>
    </row>
    <row r="9" spans="3:8" x14ac:dyDescent="0.25">
      <c r="C9" s="15" t="s">
        <v>5</v>
      </c>
      <c r="D9" s="63" t="s">
        <v>21</v>
      </c>
      <c r="E9" s="27">
        <v>1575</v>
      </c>
      <c r="F9" s="27">
        <v>364</v>
      </c>
      <c r="G9" s="27">
        <v>1676</v>
      </c>
      <c r="H9" s="27">
        <f t="shared" si="0"/>
        <v>1312</v>
      </c>
    </row>
    <row r="10" spans="3:8" x14ac:dyDescent="0.25">
      <c r="C10" s="15" t="s">
        <v>6</v>
      </c>
      <c r="D10" s="63" t="s">
        <v>21</v>
      </c>
      <c r="E10" s="27">
        <v>1524</v>
      </c>
      <c r="F10" s="27">
        <v>470</v>
      </c>
      <c r="G10" s="27">
        <v>1530</v>
      </c>
      <c r="H10" s="27">
        <f t="shared" si="0"/>
        <v>1060</v>
      </c>
    </row>
    <row r="11" spans="3:8" x14ac:dyDescent="0.25">
      <c r="C11" s="15" t="s">
        <v>7</v>
      </c>
      <c r="D11" s="63" t="s">
        <v>21</v>
      </c>
      <c r="E11" s="27">
        <v>1603</v>
      </c>
      <c r="F11" s="27">
        <v>400</v>
      </c>
      <c r="G11" s="27">
        <v>1100</v>
      </c>
      <c r="H11" s="27">
        <f t="shared" si="0"/>
        <v>700</v>
      </c>
    </row>
    <row r="12" spans="3:8" x14ac:dyDescent="0.25">
      <c r="C12" s="15" t="s">
        <v>8</v>
      </c>
      <c r="D12" s="63" t="s">
        <v>22</v>
      </c>
      <c r="E12" s="27">
        <v>1670.8</v>
      </c>
      <c r="F12" s="27">
        <v>370</v>
      </c>
      <c r="G12" s="27">
        <v>610</v>
      </c>
      <c r="H12" s="27">
        <f t="shared" si="0"/>
        <v>240</v>
      </c>
    </row>
    <row r="13" spans="3:8" x14ac:dyDescent="0.25">
      <c r="C13" s="15" t="s">
        <v>9</v>
      </c>
      <c r="D13" s="63" t="s">
        <v>23</v>
      </c>
      <c r="E13" s="27">
        <v>1565</v>
      </c>
      <c r="F13" s="27">
        <v>300</v>
      </c>
      <c r="G13" s="27">
        <v>480</v>
      </c>
      <c r="H13" s="27">
        <f t="shared" si="0"/>
        <v>180</v>
      </c>
    </row>
    <row r="14" spans="3:8" x14ac:dyDescent="0.25">
      <c r="C14" s="15" t="s">
        <v>10</v>
      </c>
      <c r="D14" s="63" t="s">
        <v>21</v>
      </c>
      <c r="E14" s="27">
        <v>1654</v>
      </c>
      <c r="F14" s="27">
        <v>480</v>
      </c>
      <c r="G14" s="27">
        <v>1000</v>
      </c>
      <c r="H14" s="27">
        <f t="shared" si="0"/>
        <v>520</v>
      </c>
    </row>
    <row r="15" spans="3:8" x14ac:dyDescent="0.25">
      <c r="C15" s="15" t="s">
        <v>11</v>
      </c>
      <c r="D15" s="63" t="s">
        <v>24</v>
      </c>
      <c r="E15" s="27">
        <v>1450</v>
      </c>
      <c r="F15" s="27">
        <v>140</v>
      </c>
      <c r="G15" s="27">
        <v>350</v>
      </c>
      <c r="H15" s="27">
        <f t="shared" si="0"/>
        <v>210</v>
      </c>
    </row>
    <row r="16" spans="3:8" x14ac:dyDescent="0.25">
      <c r="C16" s="15" t="s">
        <v>12</v>
      </c>
      <c r="D16" s="63" t="s">
        <v>24</v>
      </c>
      <c r="E16" s="27">
        <v>1461</v>
      </c>
      <c r="F16" s="27">
        <v>240</v>
      </c>
      <c r="G16" s="27">
        <v>740</v>
      </c>
      <c r="H16" s="27">
        <f t="shared" si="0"/>
        <v>500</v>
      </c>
    </row>
    <row r="17" spans="3:8" x14ac:dyDescent="0.25">
      <c r="C17" s="15" t="s">
        <v>13</v>
      </c>
      <c r="D17" s="63" t="s">
        <v>24</v>
      </c>
      <c r="E17" s="27">
        <v>1445</v>
      </c>
      <c r="F17" s="27">
        <v>220</v>
      </c>
      <c r="G17" s="27">
        <v>600</v>
      </c>
      <c r="H17" s="27">
        <f t="shared" si="0"/>
        <v>380</v>
      </c>
    </row>
    <row r="18" spans="3:8" x14ac:dyDescent="0.25">
      <c r="C18" s="15" t="s">
        <v>14</v>
      </c>
      <c r="D18" s="63" t="s">
        <v>24</v>
      </c>
      <c r="E18" s="27">
        <v>1456</v>
      </c>
      <c r="F18" s="27">
        <v>260</v>
      </c>
      <c r="G18" s="27">
        <v>665</v>
      </c>
      <c r="H18" s="27">
        <f t="shared" si="0"/>
        <v>405</v>
      </c>
    </row>
    <row r="19" spans="3:8" x14ac:dyDescent="0.25">
      <c r="C19" s="15" t="s">
        <v>15</v>
      </c>
      <c r="D19" s="63" t="s">
        <v>21</v>
      </c>
      <c r="E19" s="27">
        <v>1583</v>
      </c>
      <c r="F19" s="27">
        <v>390</v>
      </c>
      <c r="G19" s="27">
        <v>1250</v>
      </c>
      <c r="H19" s="27">
        <f t="shared" si="0"/>
        <v>860</v>
      </c>
    </row>
    <row r="20" spans="3:8" x14ac:dyDescent="0.25">
      <c r="C20" s="15" t="s">
        <v>16</v>
      </c>
      <c r="D20" s="63" t="s">
        <v>21</v>
      </c>
      <c r="E20" s="27">
        <v>1613</v>
      </c>
      <c r="F20" s="27">
        <v>510</v>
      </c>
      <c r="G20" s="27">
        <v>1060</v>
      </c>
      <c r="H20" s="27">
        <f t="shared" si="0"/>
        <v>550</v>
      </c>
    </row>
    <row r="21" spans="3:8" x14ac:dyDescent="0.25">
      <c r="C21" s="15" t="s">
        <v>17</v>
      </c>
      <c r="D21" s="63" t="s">
        <v>21</v>
      </c>
      <c r="E21" s="27">
        <v>1631</v>
      </c>
      <c r="F21" s="27">
        <v>460</v>
      </c>
      <c r="G21" s="27">
        <v>1140</v>
      </c>
      <c r="H21" s="27">
        <f t="shared" si="0"/>
        <v>680</v>
      </c>
    </row>
    <row r="22" spans="3:8" x14ac:dyDescent="0.25">
      <c r="C22" s="15" t="s">
        <v>18</v>
      </c>
      <c r="D22" s="63" t="s">
        <v>21</v>
      </c>
      <c r="E22" s="27">
        <v>1641</v>
      </c>
      <c r="F22" s="27">
        <v>480</v>
      </c>
      <c r="G22" s="27">
        <v>1200</v>
      </c>
      <c r="H22" s="27">
        <f t="shared" si="0"/>
        <v>720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pageSetUpPr fitToPage="1"/>
  </sheetPr>
  <dimension ref="C1:G23"/>
  <sheetViews>
    <sheetView workbookViewId="0">
      <selection activeCell="C1" sqref="C1"/>
    </sheetView>
  </sheetViews>
  <sheetFormatPr defaultRowHeight="15" x14ac:dyDescent="0.25"/>
  <cols>
    <col min="1" max="2" width="2.7109375" customWidth="1"/>
    <col min="3" max="3" width="26" bestFit="1" customWidth="1"/>
    <col min="4" max="4" width="11.7109375" customWidth="1"/>
    <col min="5" max="5" width="2.7109375" customWidth="1"/>
    <col min="6" max="6" width="26" bestFit="1" customWidth="1"/>
    <col min="7" max="7" width="11.7109375" customWidth="1"/>
  </cols>
  <sheetData>
    <row r="1" spans="3:7" x14ac:dyDescent="0.25">
      <c r="C1" s="36"/>
    </row>
    <row r="3" spans="3:7" x14ac:dyDescent="0.25">
      <c r="C3" s="8" t="s">
        <v>101</v>
      </c>
      <c r="D3" s="9"/>
      <c r="F3" s="8" t="s">
        <v>114</v>
      </c>
      <c r="G3" s="9"/>
    </row>
    <row r="4" spans="3:7" x14ac:dyDescent="0.25">
      <c r="C4" s="58" t="s">
        <v>0</v>
      </c>
      <c r="D4" s="45">
        <v>2015</v>
      </c>
      <c r="F4" s="58" t="s">
        <v>115</v>
      </c>
      <c r="G4" s="45">
        <v>2015</v>
      </c>
    </row>
    <row r="5" spans="3:7" x14ac:dyDescent="0.25">
      <c r="C5" s="15" t="s">
        <v>90</v>
      </c>
      <c r="D5" s="4">
        <v>463.47699999999998</v>
      </c>
      <c r="F5" s="15" t="s">
        <v>116</v>
      </c>
      <c r="G5" s="4">
        <v>7287.8949999999986</v>
      </c>
    </row>
    <row r="6" spans="3:7" x14ac:dyDescent="0.25">
      <c r="C6" s="15" t="s">
        <v>91</v>
      </c>
      <c r="D6" s="4">
        <v>2095.8989999999999</v>
      </c>
    </row>
    <row r="7" spans="3:7" x14ac:dyDescent="0.25">
      <c r="C7" s="15" t="s">
        <v>92</v>
      </c>
      <c r="D7" s="4">
        <v>1193.134</v>
      </c>
      <c r="F7" s="23"/>
      <c r="G7" s="23"/>
    </row>
    <row r="8" spans="3:7" x14ac:dyDescent="0.25">
      <c r="C8" s="15" t="s">
        <v>93</v>
      </c>
      <c r="D8" s="4">
        <v>1159.558</v>
      </c>
    </row>
    <row r="9" spans="3:7" x14ac:dyDescent="0.25">
      <c r="C9" s="15" t="s">
        <v>94</v>
      </c>
      <c r="D9" s="4">
        <v>1170.356</v>
      </c>
    </row>
    <row r="10" spans="3:7" x14ac:dyDescent="0.25">
      <c r="C10" s="15" t="s">
        <v>95</v>
      </c>
      <c r="D10" s="4">
        <v>736.42399999999998</v>
      </c>
      <c r="F10" s="8" t="s">
        <v>117</v>
      </c>
      <c r="G10" s="9"/>
    </row>
    <row r="11" spans="3:7" x14ac:dyDescent="0.25">
      <c r="C11" s="15" t="s">
        <v>96</v>
      </c>
      <c r="D11" s="4">
        <v>392.75800000000004</v>
      </c>
      <c r="F11" s="58" t="s">
        <v>115</v>
      </c>
      <c r="G11" s="45" t="s">
        <v>133</v>
      </c>
    </row>
    <row r="12" spans="3:7" x14ac:dyDescent="0.25">
      <c r="C12" s="15" t="s">
        <v>97</v>
      </c>
      <c r="D12" s="4">
        <v>1661.539</v>
      </c>
      <c r="F12" s="15" t="s">
        <v>116</v>
      </c>
      <c r="G12" s="57">
        <f>G5</f>
        <v>7287.8949999999986</v>
      </c>
    </row>
    <row r="13" spans="3:7" x14ac:dyDescent="0.25">
      <c r="C13" s="15" t="s">
        <v>98</v>
      </c>
      <c r="D13" s="4">
        <v>800.40299999999991</v>
      </c>
    </row>
    <row r="14" spans="3:7" x14ac:dyDescent="0.25">
      <c r="C14" s="15" t="s">
        <v>99</v>
      </c>
      <c r="D14" s="4">
        <v>412.76699999999994</v>
      </c>
    </row>
    <row r="15" spans="3:7" x14ac:dyDescent="0.25">
      <c r="C15" s="15" t="s">
        <v>100</v>
      </c>
      <c r="D15" s="4">
        <v>2.649</v>
      </c>
    </row>
    <row r="17" spans="3:7" x14ac:dyDescent="0.25">
      <c r="C17" s="30" t="s">
        <v>48</v>
      </c>
      <c r="D17" s="31">
        <f t="shared" ref="D17" si="0">SUM(D5:D15)</f>
        <v>10088.963999999998</v>
      </c>
    </row>
    <row r="19" spans="3:7" x14ac:dyDescent="0.25">
      <c r="C19" s="56" t="s">
        <v>44</v>
      </c>
      <c r="D19" s="32"/>
      <c r="E19" s="32"/>
      <c r="F19" s="32"/>
      <c r="G19" s="32"/>
    </row>
    <row r="20" spans="3:7" x14ac:dyDescent="0.25">
      <c r="C20" s="1" t="s">
        <v>130</v>
      </c>
    </row>
    <row r="21" spans="3:7" ht="25.5" customHeight="1" x14ac:dyDescent="0.25">
      <c r="C21" s="70" t="s">
        <v>129</v>
      </c>
      <c r="D21" s="70"/>
      <c r="E21" s="70"/>
      <c r="F21" s="70"/>
      <c r="G21" s="70"/>
    </row>
    <row r="22" spans="3:7" ht="25.5" customHeight="1" x14ac:dyDescent="0.25">
      <c r="C22" s="70" t="s">
        <v>132</v>
      </c>
      <c r="D22" s="70"/>
      <c r="E22" s="70"/>
      <c r="F22" s="70"/>
      <c r="G22" s="70"/>
    </row>
    <row r="23" spans="3:7" ht="51" customHeight="1" x14ac:dyDescent="0.25">
      <c r="C23" s="75" t="s">
        <v>131</v>
      </c>
      <c r="D23" s="75"/>
      <c r="E23" s="75"/>
      <c r="F23" s="75"/>
      <c r="G23" s="75"/>
    </row>
  </sheetData>
  <mergeCells count="3">
    <mergeCell ref="C23:G23"/>
    <mergeCell ref="C21:G21"/>
    <mergeCell ref="C22:G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pageSetUpPr fitToPage="1"/>
  </sheetPr>
  <dimension ref="C1:I50"/>
  <sheetViews>
    <sheetView topLeftCell="B1" workbookViewId="0">
      <selection activeCell="C1" sqref="C1"/>
    </sheetView>
  </sheetViews>
  <sheetFormatPr defaultRowHeight="15" x14ac:dyDescent="0.25"/>
  <cols>
    <col min="1" max="2" width="2.7109375" customWidth="1"/>
    <col min="4" max="9" width="16.7109375" customWidth="1"/>
    <col min="10" max="11" width="2.7109375" customWidth="1"/>
  </cols>
  <sheetData>
    <row r="1" spans="3:9" x14ac:dyDescent="0.25">
      <c r="C1" s="36"/>
    </row>
    <row r="3" spans="3:9" x14ac:dyDescent="0.25">
      <c r="C3" s="52" t="s">
        <v>102</v>
      </c>
      <c r="D3" s="53"/>
      <c r="E3" s="54"/>
      <c r="F3" s="54"/>
      <c r="G3" s="54"/>
      <c r="H3" s="54"/>
      <c r="I3" s="55"/>
    </row>
    <row r="4" spans="3:9" ht="25.5" x14ac:dyDescent="0.25">
      <c r="C4" s="50" t="s">
        <v>67</v>
      </c>
      <c r="D4" s="50" t="s">
        <v>103</v>
      </c>
      <c r="E4" s="50" t="s">
        <v>104</v>
      </c>
      <c r="F4" s="50" t="s">
        <v>105</v>
      </c>
      <c r="G4" s="50" t="s">
        <v>106</v>
      </c>
      <c r="H4" s="50" t="s">
        <v>107</v>
      </c>
      <c r="I4" s="50" t="s">
        <v>108</v>
      </c>
    </row>
    <row r="5" spans="3:9" x14ac:dyDescent="0.25">
      <c r="C5" s="51">
        <v>1995</v>
      </c>
      <c r="D5" s="3">
        <v>18810.30000000001</v>
      </c>
      <c r="E5" s="59">
        <v>259.17</v>
      </c>
      <c r="F5" s="59">
        <v>97.665333333333294</v>
      </c>
      <c r="G5" s="59">
        <v>129.23170731707313</v>
      </c>
      <c r="H5" s="59">
        <v>49.272426035502988</v>
      </c>
      <c r="I5" s="59">
        <v>162.59687500000007</v>
      </c>
    </row>
    <row r="6" spans="3:9" x14ac:dyDescent="0.25">
      <c r="C6" s="51">
        <v>1996</v>
      </c>
      <c r="D6" s="3">
        <v>22084.029999999992</v>
      </c>
      <c r="E6" s="59">
        <v>256.01976744186038</v>
      </c>
      <c r="F6" s="59">
        <v>99.628571428571419</v>
      </c>
      <c r="G6" s="59">
        <v>137.12437499999996</v>
      </c>
      <c r="H6" s="59">
        <v>54.591401273885374</v>
      </c>
      <c r="I6" s="59">
        <v>187.05115384615391</v>
      </c>
    </row>
    <row r="7" spans="3:9" x14ac:dyDescent="0.25">
      <c r="C7" s="51">
        <v>1997</v>
      </c>
      <c r="D7" s="3">
        <v>25007.259999999995</v>
      </c>
      <c r="E7" s="59">
        <v>248.84367346938771</v>
      </c>
      <c r="F7" s="59">
        <v>103.24459459459457</v>
      </c>
      <c r="G7" s="59">
        <v>123.97719101123597</v>
      </c>
      <c r="H7" s="59">
        <v>60.824357142857181</v>
      </c>
      <c r="I7" s="59">
        <v>191.77944444444449</v>
      </c>
    </row>
    <row r="8" spans="3:9" x14ac:dyDescent="0.25">
      <c r="C8" s="51">
        <v>1998</v>
      </c>
      <c r="D8" s="3">
        <v>18660.559999999998</v>
      </c>
      <c r="E8" s="59">
        <v>248.9675471698113</v>
      </c>
      <c r="F8" s="59">
        <v>96.927045454545407</v>
      </c>
      <c r="G8" s="59">
        <v>108.70183673469388</v>
      </c>
      <c r="H8" s="59">
        <v>54.863776223776242</v>
      </c>
      <c r="I8" s="59">
        <v>191.1330303030303</v>
      </c>
    </row>
    <row r="9" spans="3:9" x14ac:dyDescent="0.25">
      <c r="C9" s="51">
        <v>1999</v>
      </c>
      <c r="D9" s="3">
        <v>22652.55</v>
      </c>
      <c r="E9" s="59">
        <v>242.32452830188677</v>
      </c>
      <c r="F9" s="59">
        <v>95.415151515151521</v>
      </c>
      <c r="G9" s="59">
        <v>118.09819444444449</v>
      </c>
      <c r="H9" s="59">
        <v>57.643617021276619</v>
      </c>
      <c r="I9" s="59">
        <v>182.28333333333336</v>
      </c>
    </row>
    <row r="10" spans="3:9" x14ac:dyDescent="0.25">
      <c r="C10" s="51">
        <v>2000</v>
      </c>
      <c r="D10" s="3">
        <v>23102.76</v>
      </c>
      <c r="E10" s="59">
        <v>235.25084745762717</v>
      </c>
      <c r="F10" s="59">
        <v>102.18285714285716</v>
      </c>
      <c r="G10" s="59">
        <v>114.55540540540541</v>
      </c>
      <c r="H10" s="59">
        <v>54.591578947368419</v>
      </c>
      <c r="I10" s="59">
        <v>182.44242424242424</v>
      </c>
    </row>
    <row r="11" spans="3:9" x14ac:dyDescent="0.25">
      <c r="C11" s="51">
        <v>2001</v>
      </c>
      <c r="D11" s="3">
        <v>19830.982068887308</v>
      </c>
      <c r="E11" s="59">
        <v>232.41481481481478</v>
      </c>
      <c r="F11" s="59">
        <v>101.12222222222222</v>
      </c>
      <c r="G11" s="59">
        <v>103.73432835820898</v>
      </c>
      <c r="H11" s="59">
        <v>52.486075949367063</v>
      </c>
      <c r="I11" s="59">
        <v>185.73225806451612</v>
      </c>
    </row>
    <row r="12" spans="3:9" x14ac:dyDescent="0.25">
      <c r="C12" s="51">
        <v>2002</v>
      </c>
      <c r="D12" s="3">
        <v>20606.06700000001</v>
      </c>
      <c r="E12" s="59">
        <v>226.08703703703705</v>
      </c>
      <c r="F12" s="59">
        <v>106.45909090909093</v>
      </c>
      <c r="G12" s="59">
        <v>104.00999999999999</v>
      </c>
      <c r="H12" s="59">
        <v>53.456000000000024</v>
      </c>
      <c r="I12" s="59">
        <v>171.88000000000002</v>
      </c>
    </row>
    <row r="13" spans="3:9" x14ac:dyDescent="0.25">
      <c r="C13" s="51">
        <v>2003</v>
      </c>
      <c r="D13" s="3">
        <v>18579.559099999999</v>
      </c>
      <c r="E13" s="59">
        <v>220.51499999999996</v>
      </c>
      <c r="F13" s="59">
        <v>106.09767441860467</v>
      </c>
      <c r="G13" s="59">
        <v>112.15897435897438</v>
      </c>
      <c r="H13" s="59">
        <v>48.44961240310078</v>
      </c>
      <c r="I13" s="59">
        <v>159.84186046511624</v>
      </c>
    </row>
    <row r="14" spans="3:9" x14ac:dyDescent="0.25">
      <c r="C14" s="51">
        <v>2004</v>
      </c>
      <c r="D14" s="3">
        <v>18648.605000000003</v>
      </c>
      <c r="E14" s="59">
        <v>211.79491525423731</v>
      </c>
      <c r="F14" s="59">
        <v>108.50454545454544</v>
      </c>
      <c r="G14" s="59">
        <v>81.747899159663859</v>
      </c>
      <c r="H14" s="59">
        <v>47.835714285714303</v>
      </c>
      <c r="I14" s="59">
        <v>165.47954545454542</v>
      </c>
    </row>
    <row r="15" spans="3:9" x14ac:dyDescent="0.25">
      <c r="C15" s="51">
        <v>2005</v>
      </c>
      <c r="D15" s="3">
        <v>15297.608999999995</v>
      </c>
      <c r="E15" s="59">
        <v>204.27213114754105</v>
      </c>
      <c r="F15" s="59">
        <v>102.30952380952378</v>
      </c>
      <c r="G15" s="59">
        <v>98.15568181818179</v>
      </c>
      <c r="H15" s="59">
        <v>42.456097560975621</v>
      </c>
      <c r="I15" s="59">
        <v>159.58823529411765</v>
      </c>
    </row>
    <row r="16" spans="3:9" x14ac:dyDescent="0.25">
      <c r="C16" s="51">
        <v>2006</v>
      </c>
      <c r="D16" s="3">
        <v>23053.889999999996</v>
      </c>
      <c r="E16" s="59">
        <v>202.98461538461547</v>
      </c>
      <c r="F16" s="59">
        <v>101.86499999999998</v>
      </c>
      <c r="G16" s="59">
        <v>92.35064935064932</v>
      </c>
      <c r="H16" s="59">
        <v>43.948387096774191</v>
      </c>
      <c r="I16" s="59">
        <v>160.5605263157895</v>
      </c>
    </row>
    <row r="17" spans="3:9" x14ac:dyDescent="0.25">
      <c r="C17" s="51">
        <v>2007</v>
      </c>
      <c r="D17" s="3">
        <v>22625.903300000005</v>
      </c>
      <c r="E17" s="59">
        <v>189.55614035087711</v>
      </c>
      <c r="F17" s="59">
        <v>106.11621621621623</v>
      </c>
      <c r="G17" s="59">
        <v>60.961235955056189</v>
      </c>
      <c r="H17" s="59">
        <v>50.316788321167877</v>
      </c>
      <c r="I17" s="59">
        <v>156.36739130434779</v>
      </c>
    </row>
    <row r="18" spans="3:9" x14ac:dyDescent="0.25">
      <c r="C18" s="51">
        <v>2008</v>
      </c>
      <c r="D18" s="3">
        <v>19084.03787</v>
      </c>
      <c r="E18" s="59">
        <v>180.13571428571433</v>
      </c>
      <c r="F18" s="59">
        <v>105.7972222222222</v>
      </c>
      <c r="G18" s="59">
        <v>92.376190476190487</v>
      </c>
      <c r="H18" s="59">
        <v>53.227374301675979</v>
      </c>
      <c r="I18" s="59">
        <v>160.50681818181826</v>
      </c>
    </row>
    <row r="19" spans="3:9" x14ac:dyDescent="0.25">
      <c r="C19" s="51">
        <v>2009</v>
      </c>
      <c r="D19" s="3">
        <v>16924.123</v>
      </c>
      <c r="E19" s="59">
        <v>178.42812500000002</v>
      </c>
      <c r="F19" s="59">
        <v>102.925</v>
      </c>
      <c r="G19" s="59">
        <v>73.726495726495699</v>
      </c>
      <c r="H19" s="59">
        <v>53.83595505617982</v>
      </c>
      <c r="I19" s="59">
        <v>158.44565217391309</v>
      </c>
    </row>
    <row r="20" spans="3:9" x14ac:dyDescent="0.25">
      <c r="C20" s="51">
        <v>2010</v>
      </c>
      <c r="D20" s="3">
        <v>18867.859999999993</v>
      </c>
      <c r="E20" s="59">
        <v>183.84482758620695</v>
      </c>
      <c r="F20" s="59">
        <v>94.858333333333306</v>
      </c>
      <c r="G20" s="59">
        <v>92.01604938271602</v>
      </c>
      <c r="H20" s="59">
        <v>50.732467532467517</v>
      </c>
      <c r="I20" s="59">
        <v>157.64666666666665</v>
      </c>
    </row>
    <row r="21" spans="3:9" x14ac:dyDescent="0.25">
      <c r="C21" s="51">
        <v>2011</v>
      </c>
      <c r="D21" s="3">
        <v>20127.180613999997</v>
      </c>
      <c r="E21" s="59">
        <v>182.31228070175447</v>
      </c>
      <c r="F21" s="59">
        <v>90.074999999999989</v>
      </c>
      <c r="G21" s="59">
        <v>80.934883720930273</v>
      </c>
      <c r="H21" s="59">
        <v>50.990419161676655</v>
      </c>
      <c r="I21" s="59">
        <v>156.18809523809529</v>
      </c>
    </row>
    <row r="22" spans="3:9" x14ac:dyDescent="0.25">
      <c r="C22" s="51">
        <v>2012</v>
      </c>
      <c r="D22" s="3">
        <v>20754.878999999994</v>
      </c>
      <c r="E22" s="59">
        <v>179.47735849056599</v>
      </c>
      <c r="F22" s="59">
        <v>88.070588235294125</v>
      </c>
      <c r="G22" s="59">
        <v>81.22790697674418</v>
      </c>
      <c r="H22" s="59">
        <v>50.672781065088742</v>
      </c>
      <c r="I22" s="59">
        <v>152.02444444444441</v>
      </c>
    </row>
    <row r="23" spans="3:9" x14ac:dyDescent="0.25">
      <c r="C23" s="51">
        <v>2013</v>
      </c>
      <c r="D23" s="3">
        <v>21767.350000000009</v>
      </c>
      <c r="E23" s="59">
        <v>172.91875000000002</v>
      </c>
      <c r="F23" s="59">
        <v>91.90303030303032</v>
      </c>
      <c r="G23" s="59">
        <v>66.626363636363607</v>
      </c>
      <c r="H23" s="59">
        <v>53.679888268156375</v>
      </c>
      <c r="I23" s="59">
        <v>127.06060606060609</v>
      </c>
    </row>
    <row r="24" spans="3:9" x14ac:dyDescent="0.25">
      <c r="C24" s="51">
        <v>2014</v>
      </c>
      <c r="D24" s="3">
        <v>24112.510999908998</v>
      </c>
      <c r="E24" s="59">
        <v>183.86296296296297</v>
      </c>
      <c r="F24" s="59">
        <v>96.387096774193523</v>
      </c>
      <c r="G24" s="59">
        <v>70.843181818181819</v>
      </c>
      <c r="H24" s="59">
        <v>51.242657342657324</v>
      </c>
      <c r="I24" s="59">
        <v>142.51428571428568</v>
      </c>
    </row>
    <row r="25" spans="3:9" x14ac:dyDescent="0.25">
      <c r="C25" s="51">
        <v>2015</v>
      </c>
      <c r="D25" s="3">
        <v>20004.032999999999</v>
      </c>
      <c r="E25" s="59">
        <v>174.94827586206895</v>
      </c>
      <c r="F25" s="59">
        <v>92.690909090909102</v>
      </c>
      <c r="G25" s="59">
        <v>73.128301886792443</v>
      </c>
      <c r="H25" s="59">
        <v>49.036134453781507</v>
      </c>
      <c r="I25" s="59">
        <v>137.34750000000003</v>
      </c>
    </row>
    <row r="28" spans="3:9" x14ac:dyDescent="0.25">
      <c r="C28" s="52" t="s">
        <v>123</v>
      </c>
      <c r="D28" s="53"/>
      <c r="E28" s="54"/>
      <c r="F28" s="54"/>
      <c r="G28" s="54"/>
      <c r="H28" s="54"/>
    </row>
    <row r="29" spans="3:9" ht="25.5" x14ac:dyDescent="0.25">
      <c r="C29" s="50" t="s">
        <v>67</v>
      </c>
      <c r="D29" s="50" t="s">
        <v>109</v>
      </c>
      <c r="E29" s="50" t="s">
        <v>110</v>
      </c>
      <c r="F29" s="50" t="s">
        <v>111</v>
      </c>
      <c r="G29" s="50" t="s">
        <v>112</v>
      </c>
      <c r="H29" s="50" t="s">
        <v>113</v>
      </c>
    </row>
    <row r="30" spans="3:9" x14ac:dyDescent="0.25">
      <c r="C30" s="51">
        <v>1995</v>
      </c>
      <c r="D30" s="3">
        <v>8372.1000000000022</v>
      </c>
      <c r="E30" s="3">
        <v>4241.5100000000011</v>
      </c>
      <c r="F30" s="3">
        <v>3614.5600000000009</v>
      </c>
      <c r="G30" s="3">
        <v>1658.44</v>
      </c>
      <c r="H30" s="3">
        <v>923.6899999999996</v>
      </c>
    </row>
    <row r="31" spans="3:9" x14ac:dyDescent="0.25">
      <c r="C31" s="51">
        <v>1996</v>
      </c>
      <c r="D31" s="3">
        <v>8968.7199999999975</v>
      </c>
      <c r="E31" s="3">
        <v>4360.4300000000012</v>
      </c>
      <c r="F31" s="3">
        <v>6396.5000000000009</v>
      </c>
      <c r="G31" s="3">
        <v>1374.5899999999992</v>
      </c>
      <c r="H31" s="3">
        <v>983.79000000000008</v>
      </c>
    </row>
    <row r="32" spans="3:9" x14ac:dyDescent="0.25">
      <c r="C32" s="51">
        <v>1997</v>
      </c>
      <c r="D32" s="3">
        <v>9214.6500000000015</v>
      </c>
      <c r="E32" s="3">
        <v>4240.6899999999996</v>
      </c>
      <c r="F32" s="3">
        <v>9120.5500000000029</v>
      </c>
      <c r="G32" s="3">
        <v>1502.609999999999</v>
      </c>
      <c r="H32" s="3">
        <v>928.75999999999988</v>
      </c>
    </row>
    <row r="33" spans="3:8" x14ac:dyDescent="0.25">
      <c r="C33" s="51">
        <v>1998</v>
      </c>
      <c r="D33" s="3">
        <v>6214.61</v>
      </c>
      <c r="E33" s="3">
        <v>3883.7000000000003</v>
      </c>
      <c r="F33" s="3">
        <v>6607.6800000000012</v>
      </c>
      <c r="G33" s="3">
        <v>1137.8299999999992</v>
      </c>
      <c r="H33" s="3">
        <v>816.7399999999999</v>
      </c>
    </row>
    <row r="34" spans="3:8" x14ac:dyDescent="0.25">
      <c r="C34" s="51">
        <v>1999</v>
      </c>
      <c r="D34" s="3">
        <v>7451.63</v>
      </c>
      <c r="E34" s="3">
        <v>4730.6400000000021</v>
      </c>
      <c r="F34" s="3">
        <v>8679.67</v>
      </c>
      <c r="G34" s="3">
        <v>1195.8899999999992</v>
      </c>
      <c r="H34" s="3">
        <v>594.71999999999969</v>
      </c>
    </row>
    <row r="35" spans="3:8" x14ac:dyDescent="0.25">
      <c r="C35" s="51">
        <v>2000</v>
      </c>
      <c r="D35" s="3">
        <v>6393.47</v>
      </c>
      <c r="E35" s="3">
        <v>4829.5299999999988</v>
      </c>
      <c r="F35" s="3">
        <v>9494.2500000000036</v>
      </c>
      <c r="G35" s="3">
        <v>1505.8000000000004</v>
      </c>
      <c r="H35" s="3">
        <v>879.7099999999997</v>
      </c>
    </row>
    <row r="36" spans="3:8" x14ac:dyDescent="0.25">
      <c r="C36" s="51">
        <v>2001</v>
      </c>
      <c r="D36" s="3">
        <v>4776.881000000003</v>
      </c>
      <c r="E36" s="3">
        <v>5019.7330688873135</v>
      </c>
      <c r="F36" s="3">
        <v>8488.5989999999983</v>
      </c>
      <c r="G36" s="3">
        <v>610.16999999999973</v>
      </c>
      <c r="H36" s="3">
        <v>935.59900000000005</v>
      </c>
    </row>
    <row r="37" spans="3:8" x14ac:dyDescent="0.25">
      <c r="C37" s="51">
        <v>2002</v>
      </c>
      <c r="D37" s="3">
        <v>5313.4609999999993</v>
      </c>
      <c r="E37" s="3">
        <v>5477.1899999999987</v>
      </c>
      <c r="F37" s="3">
        <v>8053.0730000000021</v>
      </c>
      <c r="G37" s="3">
        <v>1077.693</v>
      </c>
      <c r="H37" s="3">
        <v>684.6500000000002</v>
      </c>
    </row>
    <row r="38" spans="3:8" x14ac:dyDescent="0.25">
      <c r="C38" s="51">
        <v>2003</v>
      </c>
      <c r="D38" s="3">
        <v>3395.3969999999986</v>
      </c>
      <c r="E38" s="3">
        <v>5115.7299999999996</v>
      </c>
      <c r="F38" s="3">
        <v>7748.2800000000007</v>
      </c>
      <c r="G38" s="3">
        <v>1869.75</v>
      </c>
      <c r="H38" s="3">
        <v>450.40210000000008</v>
      </c>
    </row>
    <row r="39" spans="3:8" x14ac:dyDescent="0.25">
      <c r="C39" s="51">
        <v>2004</v>
      </c>
      <c r="D39" s="3">
        <v>3941.9810999999995</v>
      </c>
      <c r="E39" s="3">
        <v>4538.3799999999983</v>
      </c>
      <c r="F39" s="3">
        <v>7507.7230000000036</v>
      </c>
      <c r="G39" s="3">
        <v>2315.7803999999996</v>
      </c>
      <c r="H39" s="3">
        <v>344.7405</v>
      </c>
    </row>
    <row r="40" spans="3:8" x14ac:dyDescent="0.25">
      <c r="C40" s="51">
        <v>2005</v>
      </c>
      <c r="D40" s="3">
        <v>2915.1280000000006</v>
      </c>
      <c r="E40" s="3">
        <v>4405.8299999999981</v>
      </c>
      <c r="F40" s="3">
        <v>5821.6310000000021</v>
      </c>
      <c r="G40" s="3">
        <v>1842.98</v>
      </c>
      <c r="H40" s="3">
        <v>312.03999999999996</v>
      </c>
    </row>
    <row r="41" spans="3:8" x14ac:dyDescent="0.25">
      <c r="C41" s="51">
        <v>2006</v>
      </c>
      <c r="D41" s="3">
        <v>3048.639000000001</v>
      </c>
      <c r="E41" s="3">
        <v>4859.4400000000005</v>
      </c>
      <c r="F41" s="3">
        <v>8283.5609999999961</v>
      </c>
      <c r="G41" s="3">
        <v>6454.6600000000035</v>
      </c>
      <c r="H41" s="3">
        <v>407.59000000000003</v>
      </c>
    </row>
    <row r="42" spans="3:8" x14ac:dyDescent="0.25">
      <c r="C42" s="51">
        <v>2007</v>
      </c>
      <c r="D42" s="3">
        <v>2790.4690999999993</v>
      </c>
      <c r="E42" s="3">
        <v>4724.2801999999992</v>
      </c>
      <c r="F42" s="3">
        <v>8065.4740000000038</v>
      </c>
      <c r="G42" s="3">
        <v>6629.5399999999981</v>
      </c>
      <c r="H42" s="3">
        <v>416.14000000000004</v>
      </c>
    </row>
    <row r="43" spans="3:8" x14ac:dyDescent="0.25">
      <c r="C43" s="51">
        <v>2008</v>
      </c>
      <c r="D43" s="3">
        <v>2213.8559299999993</v>
      </c>
      <c r="E43" s="3">
        <v>4131.195340000002</v>
      </c>
      <c r="F43" s="3">
        <v>8424.1199999999953</v>
      </c>
      <c r="G43" s="3">
        <v>4166.0400000000009</v>
      </c>
      <c r="H43" s="3">
        <v>148.82659999999998</v>
      </c>
    </row>
    <row r="44" spans="3:8" x14ac:dyDescent="0.25">
      <c r="C44" s="51">
        <v>2009</v>
      </c>
      <c r="D44" s="3">
        <v>2118.8900000000003</v>
      </c>
      <c r="E44" s="3">
        <v>1420.9900000000014</v>
      </c>
      <c r="F44" s="3">
        <v>6788.5849999999973</v>
      </c>
      <c r="G44" s="3">
        <v>6367.4599999999991</v>
      </c>
      <c r="H44" s="3">
        <v>228.19800000000001</v>
      </c>
    </row>
    <row r="45" spans="3:8" x14ac:dyDescent="0.25">
      <c r="C45" s="51">
        <v>2010</v>
      </c>
      <c r="D45" s="3">
        <v>2596.85</v>
      </c>
      <c r="E45" s="3">
        <v>3827.9900000000002</v>
      </c>
      <c r="F45" s="3">
        <v>5530.9999999999991</v>
      </c>
      <c r="G45" s="3">
        <v>6712.079999999999</v>
      </c>
      <c r="H45" s="3">
        <v>199.94</v>
      </c>
    </row>
    <row r="46" spans="3:8" x14ac:dyDescent="0.25">
      <c r="C46" s="51">
        <v>2011</v>
      </c>
      <c r="D46" s="3">
        <v>2763.0699999999997</v>
      </c>
      <c r="E46" s="3">
        <v>4306.6900000000014</v>
      </c>
      <c r="F46" s="3">
        <v>6111.920000000001</v>
      </c>
      <c r="G46" s="3">
        <v>6770.43</v>
      </c>
      <c r="H46" s="3">
        <v>175.07061399999998</v>
      </c>
    </row>
    <row r="47" spans="3:8" x14ac:dyDescent="0.25">
      <c r="C47" s="51">
        <v>2012</v>
      </c>
      <c r="D47" s="3">
        <v>2901.3389999999995</v>
      </c>
      <c r="E47" s="3">
        <v>4189.3300000000027</v>
      </c>
      <c r="F47" s="3">
        <v>7029.3199999999988</v>
      </c>
      <c r="G47" s="3">
        <v>6390.5200000000013</v>
      </c>
      <c r="H47" s="3">
        <v>244.36999999999998</v>
      </c>
    </row>
    <row r="48" spans="3:8" x14ac:dyDescent="0.25">
      <c r="C48" s="51">
        <v>2013</v>
      </c>
      <c r="D48" s="3">
        <v>3831.2619999999993</v>
      </c>
      <c r="E48" s="3">
        <v>4228.6729999999998</v>
      </c>
      <c r="F48" s="3">
        <v>6358.9890000000023</v>
      </c>
      <c r="G48" s="3">
        <v>6280.9110000000019</v>
      </c>
      <c r="H48" s="3">
        <v>1067.5149999999996</v>
      </c>
    </row>
    <row r="49" spans="3:8" x14ac:dyDescent="0.25">
      <c r="C49" s="51">
        <v>2014</v>
      </c>
      <c r="D49" s="3">
        <v>4968.4089998900008</v>
      </c>
      <c r="E49" s="3">
        <v>3684.8590000020004</v>
      </c>
      <c r="F49" s="3">
        <v>5183.0980000260006</v>
      </c>
      <c r="G49" s="3">
        <v>9108.056999997003</v>
      </c>
      <c r="H49" s="3">
        <v>1168.0879999939998</v>
      </c>
    </row>
    <row r="50" spans="3:8" x14ac:dyDescent="0.25">
      <c r="C50" s="51">
        <v>2015</v>
      </c>
      <c r="D50" s="3">
        <v>3832.1000000000004</v>
      </c>
      <c r="E50" s="3">
        <v>709.59599999999989</v>
      </c>
      <c r="F50" s="3">
        <v>5669.8130000000019</v>
      </c>
      <c r="G50" s="3">
        <v>9288.5609999999979</v>
      </c>
      <c r="H50" s="3">
        <v>503.96300000000002</v>
      </c>
    </row>
  </sheetData>
  <pageMargins left="0.7" right="0.7" top="0.75" bottom="0.75" header="0.3" footer="0.3"/>
  <pageSetup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Summary</vt:lpstr>
      <vt:lpstr>Demands</vt:lpstr>
      <vt:lpstr>Well_Proj</vt:lpstr>
      <vt:lpstr>Well_Levels</vt:lpstr>
      <vt:lpstr>Well_Prod</vt:lpstr>
      <vt:lpstr>Well_Info</vt:lpstr>
      <vt:lpstr>Desalination_Well_Prod</vt:lpstr>
      <vt:lpstr>Brackish_GW_Levels</vt:lpstr>
      <vt:lpstr>WellLevels_2017Screen</vt:lpstr>
      <vt:lpstr>WellLevels_2018Screen</vt:lpstr>
      <vt:lpstr>WellLevels_2019Screen</vt:lpstr>
      <vt:lpstr>WellLevels_Names</vt:lpstr>
      <vt:lpstr>WellProd_AnnualCapacity</vt:lpstr>
      <vt:lpstr>WellProd_Names</vt:lpstr>
    </vt:vector>
  </TitlesOfParts>
  <Company>EMWD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Gordon</dc:creator>
  <cp:lastModifiedBy>Ng, Gordon</cp:lastModifiedBy>
  <cp:lastPrinted>2016-06-21T17:49:33Z</cp:lastPrinted>
  <dcterms:created xsi:type="dcterms:W3CDTF">2016-06-15T23:54:54Z</dcterms:created>
  <dcterms:modified xsi:type="dcterms:W3CDTF">2016-06-28T22:29:10Z</dcterms:modified>
</cp:coreProperties>
</file>